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0" yWindow="0" windowWidth="28800" windowHeight="12300" tabRatio="533" activeTab="1"/>
  </bookViews>
  <sheets>
    <sheet name="Form 429 Directions" sheetId="2" r:id="rId1"/>
    <sheet name="Form 429 Example" sheetId="6" r:id="rId2"/>
    <sheet name="Form 429 Blank" sheetId="7" r:id="rId3"/>
  </sheets>
  <definedNames>
    <definedName name="_xlnm.Print_Area" localSheetId="2">'Form 429 Blank'!$B$1:$R$251</definedName>
    <definedName name="_xlnm.Print_Area" localSheetId="1">'Form 429 Example'!$B$1:$R$251</definedName>
  </definedNames>
  <calcPr calcId="162913"/>
</workbook>
</file>

<file path=xl/calcChain.xml><?xml version="1.0" encoding="utf-8"?>
<calcChain xmlns="http://schemas.openxmlformats.org/spreadsheetml/2006/main">
  <c r="O251" i="7" l="1"/>
  <c r="F251" i="7"/>
  <c r="D251" i="7"/>
  <c r="D250" i="7"/>
  <c r="G209" i="7"/>
  <c r="E209" i="7"/>
  <c r="O208" i="7"/>
  <c r="E208" i="7"/>
  <c r="G175" i="7"/>
  <c r="E175" i="7"/>
  <c r="O174" i="7"/>
  <c r="E174" i="7"/>
  <c r="G132" i="7"/>
  <c r="E132" i="7"/>
  <c r="O131" i="7"/>
  <c r="E131" i="7"/>
  <c r="O89" i="7"/>
  <c r="H83" i="7"/>
  <c r="P79" i="7"/>
  <c r="H79" i="7"/>
  <c r="M72" i="7"/>
  <c r="H72" i="7"/>
  <c r="H68" i="7"/>
  <c r="L65" i="7"/>
  <c r="N63" i="7"/>
  <c r="N59" i="7"/>
  <c r="N56" i="7"/>
  <c r="Y52" i="7"/>
  <c r="Y51" i="7"/>
  <c r="K51" i="7"/>
  <c r="K60" i="7" s="1"/>
  <c r="J51" i="7"/>
  <c r="J60" i="7" s="1"/>
  <c r="I51" i="7"/>
  <c r="I60" i="7" s="1"/>
  <c r="H51" i="7"/>
  <c r="H60" i="7" s="1"/>
  <c r="Y50" i="7"/>
  <c r="Q50" i="7"/>
  <c r="Y49" i="7"/>
  <c r="Y48" i="7"/>
  <c r="Y47" i="7"/>
  <c r="Y46" i="7"/>
  <c r="B46" i="7"/>
  <c r="Y45" i="7"/>
  <c r="Q45" i="7"/>
  <c r="B45" i="7"/>
  <c r="Y44" i="7"/>
  <c r="AF43" i="7"/>
  <c r="AD43" i="7"/>
  <c r="AC43" i="7"/>
  <c r="AB43" i="7"/>
  <c r="AA43" i="7"/>
  <c r="Z43" i="7"/>
  <c r="Y43" i="7"/>
  <c r="Y40" i="7"/>
  <c r="R39" i="7"/>
  <c r="P33" i="7"/>
  <c r="BC30" i="7"/>
  <c r="BB30" i="7"/>
  <c r="BA30" i="7"/>
  <c r="AZ30" i="7"/>
  <c r="AY30" i="7"/>
  <c r="AX30" i="7"/>
  <c r="O30" i="7"/>
  <c r="BG30" i="7" s="1"/>
  <c r="N30" i="7"/>
  <c r="BF30" i="7" s="1"/>
  <c r="M30" i="7"/>
  <c r="BE30" i="7" s="1"/>
  <c r="T29" i="7"/>
  <c r="AH28" i="7"/>
  <c r="AG28" i="7"/>
  <c r="AF28" i="7"/>
  <c r="AE28" i="7"/>
  <c r="AD28" i="7"/>
  <c r="T28" i="7"/>
  <c r="S28" i="7"/>
  <c r="R28" i="7"/>
  <c r="Q28" i="7"/>
  <c r="AH27" i="7"/>
  <c r="AG27" i="7"/>
  <c r="AF27" i="7"/>
  <c r="AE27" i="7"/>
  <c r="AD27" i="7"/>
  <c r="T27" i="7"/>
  <c r="S27" i="7"/>
  <c r="AH26" i="7"/>
  <c r="AG26" i="7"/>
  <c r="AF26" i="7"/>
  <c r="AE26" i="7"/>
  <c r="AD26" i="7"/>
  <c r="T26" i="7"/>
  <c r="S26" i="7"/>
  <c r="R26" i="7"/>
  <c r="Q26" i="7"/>
  <c r="AH25" i="7"/>
  <c r="AG25" i="7"/>
  <c r="AF25" i="7"/>
  <c r="AE25" i="7"/>
  <c r="AD25" i="7"/>
  <c r="T25" i="7"/>
  <c r="S25" i="7"/>
  <c r="R25" i="7"/>
  <c r="Q25" i="7"/>
  <c r="AH24" i="7"/>
  <c r="AG24" i="7"/>
  <c r="AF24" i="7"/>
  <c r="AE24" i="7"/>
  <c r="AD24" i="7"/>
  <c r="T24" i="7"/>
  <c r="S24" i="7"/>
  <c r="R24" i="7"/>
  <c r="Q24" i="7"/>
  <c r="L24" i="7"/>
  <c r="AH23" i="7"/>
  <c r="AG23" i="7"/>
  <c r="AF23" i="7"/>
  <c r="AE23" i="7"/>
  <c r="AD23" i="7"/>
  <c r="T23" i="7"/>
  <c r="S23" i="7"/>
  <c r="R23" i="7"/>
  <c r="Q23" i="7"/>
  <c r="P23" i="7"/>
  <c r="L23" i="7"/>
  <c r="AH22" i="7"/>
  <c r="AG22" i="7"/>
  <c r="AF22" i="7"/>
  <c r="AE22" i="7"/>
  <c r="AD22" i="7"/>
  <c r="T22" i="7"/>
  <c r="S22" i="7"/>
  <c r="R22" i="7"/>
  <c r="Q22" i="7"/>
  <c r="P22" i="7"/>
  <c r="AH21" i="7"/>
  <c r="AG21" i="7"/>
  <c r="AF21" i="7"/>
  <c r="AE21" i="7"/>
  <c r="T21" i="7"/>
  <c r="S21" i="7"/>
  <c r="R21" i="7"/>
  <c r="Q21" i="7"/>
  <c r="L21" i="7"/>
  <c r="AH20" i="7"/>
  <c r="AG20" i="7"/>
  <c r="AF20" i="7"/>
  <c r="T20" i="7"/>
  <c r="S20" i="7"/>
  <c r="R20" i="7"/>
  <c r="Q20" i="7"/>
  <c r="P20" i="7"/>
  <c r="T19" i="7"/>
  <c r="S19" i="7"/>
  <c r="AH19" i="7" s="1"/>
  <c r="R19" i="7"/>
  <c r="Q19" i="7"/>
  <c r="P19" i="7"/>
  <c r="AH18" i="7"/>
  <c r="T18" i="7"/>
  <c r="S18" i="7"/>
  <c r="R18" i="7"/>
  <c r="Q18" i="7"/>
  <c r="L18" i="7"/>
  <c r="T17" i="7"/>
  <c r="S17" i="7"/>
  <c r="R17" i="7"/>
  <c r="P17" i="7"/>
  <c r="L17" i="7"/>
  <c r="P16" i="7"/>
  <c r="P24" i="7" s="1"/>
  <c r="L16" i="7"/>
  <c r="L27" i="7" s="1"/>
  <c r="O251" i="6"/>
  <c r="F251" i="6"/>
  <c r="D251" i="6"/>
  <c r="D250" i="6"/>
  <c r="G209" i="6"/>
  <c r="E209" i="6"/>
  <c r="O208" i="6"/>
  <c r="E208" i="6"/>
  <c r="G175" i="6"/>
  <c r="E175" i="6"/>
  <c r="O174" i="6"/>
  <c r="E174" i="6"/>
  <c r="G132" i="6"/>
  <c r="E132" i="6"/>
  <c r="O131" i="6"/>
  <c r="E131" i="6"/>
  <c r="O89" i="6"/>
  <c r="H83" i="6"/>
  <c r="P79" i="6"/>
  <c r="H79" i="6"/>
  <c r="M72" i="6"/>
  <c r="H72" i="6"/>
  <c r="H68" i="6"/>
  <c r="L65" i="6"/>
  <c r="N63" i="6"/>
  <c r="N59" i="6"/>
  <c r="N56" i="6"/>
  <c r="Y52" i="6"/>
  <c r="Y51" i="6"/>
  <c r="K51" i="6"/>
  <c r="K56" i="6" s="1"/>
  <c r="J51" i="6"/>
  <c r="J60" i="6" s="1"/>
  <c r="I51" i="6"/>
  <c r="I60" i="6" s="1"/>
  <c r="H51" i="6"/>
  <c r="H60" i="6" s="1"/>
  <c r="Y50" i="6"/>
  <c r="Q50" i="6"/>
  <c r="H71" i="6" s="1"/>
  <c r="Y49" i="6"/>
  <c r="Y48" i="6"/>
  <c r="Y47" i="6"/>
  <c r="Y46" i="6"/>
  <c r="B46" i="6"/>
  <c r="Y45" i="6"/>
  <c r="Q45" i="6"/>
  <c r="B45" i="6"/>
  <c r="Y44" i="6"/>
  <c r="AF43" i="6"/>
  <c r="AD43" i="6"/>
  <c r="AC43" i="6"/>
  <c r="AB43" i="6"/>
  <c r="AA43" i="6"/>
  <c r="Z43" i="6"/>
  <c r="Y43" i="6"/>
  <c r="Y40" i="6"/>
  <c r="R39" i="6"/>
  <c r="P33" i="6"/>
  <c r="BG30" i="6"/>
  <c r="BF30" i="6"/>
  <c r="BC30" i="6"/>
  <c r="BB30" i="6"/>
  <c r="BA30" i="6"/>
  <c r="AZ30" i="6"/>
  <c r="AY30" i="6"/>
  <c r="AX30" i="6"/>
  <c r="O30" i="6"/>
  <c r="N30" i="6"/>
  <c r="M30" i="6"/>
  <c r="BE30" i="6" s="1"/>
  <c r="T29" i="6"/>
  <c r="AH28" i="6"/>
  <c r="AG28" i="6"/>
  <c r="AF28" i="6"/>
  <c r="AE28" i="6"/>
  <c r="AD28" i="6"/>
  <c r="T28" i="6"/>
  <c r="S28" i="6"/>
  <c r="R28" i="6"/>
  <c r="Q28" i="6"/>
  <c r="P28" i="6"/>
  <c r="AH27" i="6"/>
  <c r="AG27" i="6"/>
  <c r="AF27" i="6"/>
  <c r="AE27" i="6"/>
  <c r="AD27" i="6"/>
  <c r="T27" i="6"/>
  <c r="S27" i="6"/>
  <c r="AH26" i="6"/>
  <c r="AG26" i="6"/>
  <c r="AF26" i="6"/>
  <c r="AE26" i="6"/>
  <c r="AD26" i="6"/>
  <c r="T26" i="6"/>
  <c r="S26" i="6"/>
  <c r="R26" i="6"/>
  <c r="Q26" i="6"/>
  <c r="AH25" i="6"/>
  <c r="AG25" i="6"/>
  <c r="AF25" i="6"/>
  <c r="T25" i="6" s="1"/>
  <c r="AE25" i="6"/>
  <c r="AD25" i="6"/>
  <c r="S25" i="6"/>
  <c r="R25" i="6"/>
  <c r="Q25" i="6"/>
  <c r="P25" i="6"/>
  <c r="L25" i="6"/>
  <c r="AH24" i="6"/>
  <c r="AG24" i="6"/>
  <c r="AF24" i="6"/>
  <c r="AE24" i="6"/>
  <c r="AD24" i="6"/>
  <c r="T24" i="6"/>
  <c r="S24" i="6"/>
  <c r="R24" i="6"/>
  <c r="Q24" i="6"/>
  <c r="P24" i="6"/>
  <c r="AH23" i="6"/>
  <c r="AG23" i="6"/>
  <c r="AF23" i="6"/>
  <c r="T23" i="6" s="1"/>
  <c r="AE23" i="6"/>
  <c r="AD23" i="6"/>
  <c r="S23" i="6"/>
  <c r="R23" i="6"/>
  <c r="Q23" i="6"/>
  <c r="P23" i="6"/>
  <c r="AH22" i="6"/>
  <c r="AG22" i="6"/>
  <c r="AF22" i="6"/>
  <c r="T22" i="6" s="1"/>
  <c r="AE22" i="6"/>
  <c r="AD22" i="6"/>
  <c r="S22" i="6"/>
  <c r="R22" i="6"/>
  <c r="Q22" i="6"/>
  <c r="P22" i="6"/>
  <c r="AH21" i="6"/>
  <c r="AG21" i="6"/>
  <c r="AF21" i="6"/>
  <c r="AE21" i="6"/>
  <c r="T21" i="6"/>
  <c r="S21" i="6"/>
  <c r="R21" i="6"/>
  <c r="Q21" i="6"/>
  <c r="P21" i="6"/>
  <c r="AH20" i="6"/>
  <c r="AG20" i="6"/>
  <c r="AF20" i="6"/>
  <c r="T20" i="6"/>
  <c r="S20" i="6"/>
  <c r="R20" i="6"/>
  <c r="Q20" i="6"/>
  <c r="T19" i="6"/>
  <c r="S19" i="6"/>
  <c r="AH19" i="6" s="1"/>
  <c r="R19" i="6"/>
  <c r="Q19" i="6"/>
  <c r="AH18" i="6"/>
  <c r="T18" i="6"/>
  <c r="S18" i="6"/>
  <c r="R18" i="6"/>
  <c r="Q18" i="6"/>
  <c r="P18" i="6"/>
  <c r="T17" i="6"/>
  <c r="S17" i="6"/>
  <c r="R17" i="6"/>
  <c r="P17" i="6"/>
  <c r="L17" i="6"/>
  <c r="P16" i="6"/>
  <c r="P27" i="6" s="1"/>
  <c r="L16" i="6"/>
  <c r="L28" i="6" s="1"/>
  <c r="BH30" i="6" l="1"/>
  <c r="P30" i="6" s="1"/>
  <c r="I61" i="6" s="1"/>
  <c r="J56" i="6"/>
  <c r="L22" i="7"/>
  <c r="P27" i="7"/>
  <c r="L28" i="7"/>
  <c r="I56" i="7"/>
  <c r="L25" i="7"/>
  <c r="P28" i="7"/>
  <c r="BH30" i="7"/>
  <c r="P30" i="7" s="1"/>
  <c r="K61" i="7" s="1"/>
  <c r="K65" i="7" s="1"/>
  <c r="J56" i="7"/>
  <c r="Q51" i="6"/>
  <c r="H80" i="6"/>
  <c r="P25" i="7"/>
  <c r="K56" i="7"/>
  <c r="L23" i="6"/>
  <c r="L26" i="6"/>
  <c r="AG19" i="7"/>
  <c r="Q51" i="7"/>
  <c r="H80" i="7"/>
  <c r="K60" i="6"/>
  <c r="AG19" i="6"/>
  <c r="L19" i="6"/>
  <c r="L26" i="7"/>
  <c r="L20" i="6"/>
  <c r="P26" i="6"/>
  <c r="L18" i="6"/>
  <c r="P19" i="6"/>
  <c r="P20" i="6"/>
  <c r="L21" i="6"/>
  <c r="L24" i="6"/>
  <c r="L19" i="7"/>
  <c r="L20" i="7"/>
  <c r="P26" i="7"/>
  <c r="H71" i="7"/>
  <c r="H56" i="6"/>
  <c r="L27" i="6"/>
  <c r="L22" i="6"/>
  <c r="I56" i="6"/>
  <c r="P18" i="7"/>
  <c r="P21" i="7"/>
  <c r="H56" i="7"/>
  <c r="I65" i="6" l="1"/>
  <c r="I62" i="6"/>
  <c r="K61" i="6"/>
  <c r="J61" i="7"/>
  <c r="J65" i="7" s="1"/>
  <c r="Q61" i="6"/>
  <c r="I61" i="7"/>
  <c r="I65" i="7" s="1"/>
  <c r="Q53" i="7"/>
  <c r="Q58" i="7" s="1"/>
  <c r="Q59" i="7" s="1"/>
  <c r="H78" i="7"/>
  <c r="H81" i="7" s="1"/>
  <c r="O83" i="7" s="1"/>
  <c r="H78" i="6"/>
  <c r="H81" i="6" s="1"/>
  <c r="O83" i="6" s="1"/>
  <c r="Q53" i="6"/>
  <c r="Q58" i="6" s="1"/>
  <c r="Q59" i="6" s="1"/>
  <c r="Q61" i="7"/>
  <c r="Q65" i="7" s="1"/>
  <c r="H61" i="7"/>
  <c r="H65" i="7" s="1"/>
  <c r="J61" i="6"/>
  <c r="K58" i="7"/>
  <c r="K59" i="7" s="1"/>
  <c r="J58" i="7"/>
  <c r="J59" i="7" s="1"/>
  <c r="I58" i="7"/>
  <c r="I59" i="7" s="1"/>
  <c r="H58" i="7"/>
  <c r="H59" i="7" s="1"/>
  <c r="K62" i="7"/>
  <c r="J62" i="7"/>
  <c r="H62" i="7"/>
  <c r="K58" i="6"/>
  <c r="K59" i="6" s="1"/>
  <c r="J58" i="6"/>
  <c r="J59" i="6" s="1"/>
  <c r="I58" i="6"/>
  <c r="I59" i="6" s="1"/>
  <c r="H58" i="6"/>
  <c r="H59" i="6" s="1"/>
  <c r="H61" i="6"/>
  <c r="I62" i="7" l="1"/>
  <c r="J65" i="6"/>
  <c r="J62" i="6"/>
  <c r="Q65" i="6"/>
  <c r="Q62" i="6"/>
  <c r="K65" i="6"/>
  <c r="K62" i="6"/>
  <c r="H65" i="6"/>
  <c r="H62" i="6"/>
  <c r="Q62" i="7"/>
</calcChain>
</file>

<file path=xl/comments1.xml><?xml version="1.0" encoding="utf-8"?>
<comments xmlns="http://schemas.openxmlformats.org/spreadsheetml/2006/main">
  <authors>
    <author>Battista, Vincent</author>
    <author>Wieden, Craig</author>
  </authors>
  <commentList>
    <comment ref="M30" authorId="0" shapeId="0">
      <text>
        <r>
          <rPr>
            <b/>
            <sz val="9"/>
            <color indexed="81"/>
            <rFont val="Tahoma"/>
            <family val="2"/>
          </rPr>
          <t>Battista, Vincent:</t>
        </r>
        <r>
          <rPr>
            <sz val="9"/>
            <color indexed="81"/>
            <rFont val="Tahoma"/>
            <family val="2"/>
          </rPr>
          <t xml:space="preserve">
For RAP: Back-calculated using an assumed average statewide aggregate water absorption of 1.01% and asphalt absorption of 0.61% .</t>
        </r>
      </text>
    </comment>
    <comment ref="N58" authorId="1" shapeId="0">
      <text>
        <r>
          <rPr>
            <b/>
            <sz val="9"/>
            <color indexed="81"/>
            <rFont val="Tahoma"/>
            <family val="2"/>
          </rPr>
          <t>Wieden, Craig:</t>
        </r>
        <r>
          <rPr>
            <sz val="9"/>
            <color indexed="81"/>
            <rFont val="Tahoma"/>
            <family val="2"/>
          </rPr>
          <t xml:space="preserve">
Table 403-2 has a range based on nominal max size.  It could vary between 12.6 to 15.8 for HMA Mixes so left this cell as user input.</t>
        </r>
      </text>
    </comment>
  </commentList>
</comments>
</file>

<file path=xl/comments2.xml><?xml version="1.0" encoding="utf-8"?>
<comments xmlns="http://schemas.openxmlformats.org/spreadsheetml/2006/main">
  <authors>
    <author>Battista, Vincent</author>
    <author>Wieden, Craig</author>
  </authors>
  <commentList>
    <comment ref="M30" authorId="0" shapeId="0">
      <text>
        <r>
          <rPr>
            <b/>
            <sz val="9"/>
            <color indexed="81"/>
            <rFont val="Tahoma"/>
            <family val="2"/>
          </rPr>
          <t>Battista, Vincent:</t>
        </r>
        <r>
          <rPr>
            <sz val="9"/>
            <color indexed="81"/>
            <rFont val="Tahoma"/>
            <family val="2"/>
          </rPr>
          <t xml:space="preserve">
For RAP: Back-calculated using an assumed average statewide aggregate water absorption of 1.01% and asphalt absorption of 0.61% .</t>
        </r>
      </text>
    </comment>
    <comment ref="N58" authorId="1" shapeId="0">
      <text>
        <r>
          <rPr>
            <b/>
            <sz val="9"/>
            <color indexed="81"/>
            <rFont val="Tahoma"/>
            <family val="2"/>
          </rPr>
          <t>Wieden, Craig:</t>
        </r>
        <r>
          <rPr>
            <sz val="9"/>
            <color indexed="81"/>
            <rFont val="Tahoma"/>
            <family val="2"/>
          </rPr>
          <t xml:space="preserve">
Table 403-2 has a range based on nominal max size.  It could vary between 12.6 to 15.8 for HMA Mixes so left this cell as user input.</t>
        </r>
      </text>
    </comment>
  </commentList>
</comments>
</file>

<file path=xl/sharedStrings.xml><?xml version="1.0" encoding="utf-8"?>
<sst xmlns="http://schemas.openxmlformats.org/spreadsheetml/2006/main" count="691" uniqueCount="267">
  <si>
    <t>Date Received</t>
  </si>
  <si>
    <t>Field Sheet No.</t>
  </si>
  <si>
    <t>Region</t>
  </si>
  <si>
    <t>Item 403:</t>
  </si>
  <si>
    <t>Contractor/Supplier</t>
  </si>
  <si>
    <t>Pit Name</t>
  </si>
  <si>
    <t>Grading</t>
  </si>
  <si>
    <t>Aggregate Sampled by (CP-30)</t>
  </si>
  <si>
    <t>Percent in Mix</t>
  </si>
  <si>
    <t>(37.5)</t>
  </si>
  <si>
    <t>(25.0)</t>
  </si>
  <si>
    <t>(19.0)</t>
  </si>
  <si>
    <t>(12.5)</t>
  </si>
  <si>
    <t>(9.5)</t>
  </si>
  <si>
    <t>(4.75)</t>
  </si>
  <si>
    <t>(2.36)</t>
  </si>
  <si>
    <t>(1.18)</t>
  </si>
  <si>
    <t>(0.60)</t>
  </si>
  <si>
    <t>(0.30)</t>
  </si>
  <si>
    <t>(0.15)</t>
  </si>
  <si>
    <t>(0.075)</t>
  </si>
  <si>
    <t>Gradation</t>
  </si>
  <si>
    <t xml:space="preserve"> </t>
  </si>
  <si>
    <t>Specimen SpG. Data (CP-L 5115 &amp; CP-L 5106):</t>
  </si>
  <si>
    <t>Bulks at Ndes</t>
  </si>
  <si>
    <t>Height at Ndes</t>
  </si>
  <si>
    <t>Voids Data:</t>
  </si>
  <si>
    <t>Voids at Ndes</t>
  </si>
  <si>
    <t>Other Data:</t>
  </si>
  <si>
    <t>VMA at Ndes (CP-48)</t>
  </si>
  <si>
    <t>VFA at Ndes (percent)</t>
  </si>
  <si>
    <t>Voids Specs:</t>
  </si>
  <si>
    <t>Specs:</t>
  </si>
  <si>
    <t>Optimum A.C. Content Results</t>
  </si>
  <si>
    <t>Optimum A.C. Content (percent)</t>
  </si>
  <si>
    <t>Rice at Optimum A.C.</t>
  </si>
  <si>
    <t>Voids at Optimum A.C. (percent)</t>
  </si>
  <si>
    <t>VMA at Optimum A.C. (percent)</t>
  </si>
  <si>
    <t>Lottman Moisture Sensitivity Results (CP-L 5109, Method B)</t>
  </si>
  <si>
    <t>Avg. Dry Tensile Strength (psi)</t>
  </si>
  <si>
    <t>Avg. Cond. Tensile Strength (psi)</t>
  </si>
  <si>
    <t>Avg. Specimen Voids (percent)</t>
  </si>
  <si>
    <t>Avg. Saturation (percent)</t>
  </si>
  <si>
    <t>Lottman Specs:</t>
  </si>
  <si>
    <t>&gt; 30</t>
  </si>
  <si>
    <t>Asphalt Pavement Engineer</t>
  </si>
  <si>
    <t>Report Date</t>
  </si>
  <si>
    <t>RME</t>
  </si>
  <si>
    <t>HQ</t>
  </si>
  <si>
    <t xml:space="preserve">          Distribution:</t>
  </si>
  <si>
    <t>Asphalt Content (percent)</t>
  </si>
  <si>
    <t>Rice =</t>
  </si>
  <si>
    <t>@</t>
  </si>
  <si>
    <t>%AC</t>
  </si>
  <si>
    <t>SX</t>
  </si>
  <si>
    <t>(372KPa)</t>
  </si>
  <si>
    <t>(291KPpa)</t>
  </si>
  <si>
    <t>%</t>
  </si>
  <si>
    <t>Dust to A.C. Ratio (CP-50)</t>
  </si>
  <si>
    <t>45 min</t>
  </si>
  <si>
    <t>Type of Aggregate</t>
  </si>
  <si>
    <t>Aggregate Source</t>
  </si>
  <si>
    <r>
      <t>Lab No</t>
    </r>
    <r>
      <rPr>
        <sz val="8"/>
        <rFont val="Arial"/>
        <family val="2"/>
      </rPr>
      <t>.</t>
    </r>
  </si>
  <si>
    <t>For Info</t>
  </si>
  <si>
    <t>Rice Data (CP-51)</t>
  </si>
  <si>
    <t>Minimum</t>
  </si>
  <si>
    <t>Maximum</t>
  </si>
  <si>
    <t>Mix Design A.C. Content Determination Results:</t>
  </si>
  <si>
    <t>Sieve Size Raised to the .45 Power</t>
  </si>
  <si>
    <t xml:space="preserve">         Control Points</t>
  </si>
  <si>
    <t>Aggregate Data (CP-31 A &amp; B):</t>
  </si>
  <si>
    <t>Plastic or Non-Plastic (T-90)</t>
  </si>
  <si>
    <t>Fractured Faces (CP-45)</t>
  </si>
  <si>
    <t>LA Abrasion (T-96)</t>
  </si>
  <si>
    <t>Combined</t>
  </si>
  <si>
    <t>Aggregate Bulk SpG(T-84 &amp; T-85)</t>
  </si>
  <si>
    <t>Aggregate Eff. SpG(T-84 &amp; T-85)</t>
  </si>
  <si>
    <t>Aggregate App. SpG(T-84 &amp; T85))</t>
  </si>
  <si>
    <t>Fine Agg. Bulk SpG. (T-84)</t>
  </si>
  <si>
    <t>Coarse Agg. Bulk SpG. (T-85)</t>
  </si>
  <si>
    <t>Agg Water Abs (%) (T-84 &amp; T85)</t>
  </si>
  <si>
    <t xml:space="preserve">A.C. Content (percent) </t>
  </si>
  <si>
    <t>S</t>
  </si>
  <si>
    <t>SG</t>
  </si>
  <si>
    <t>1"</t>
  </si>
  <si>
    <r>
      <t>Gyr. (N</t>
    </r>
    <r>
      <rPr>
        <vertAlign val="subscript"/>
        <sz val="8"/>
        <rFont val="Arial"/>
        <family val="2"/>
      </rPr>
      <t>design</t>
    </r>
    <r>
      <rPr>
        <sz val="8"/>
        <rFont val="Arial"/>
        <family val="2"/>
      </rPr>
      <t>)</t>
    </r>
  </si>
  <si>
    <t>Binder SpG.</t>
  </si>
  <si>
    <t>45.0 min</t>
  </si>
  <si>
    <t>Effective Asphalt Content</t>
  </si>
  <si>
    <t>Tensile Strength Retained</t>
  </si>
  <si>
    <t>Stability at Optimum A.C.</t>
  </si>
  <si>
    <t>Grade</t>
  </si>
  <si>
    <t>Gyrations</t>
  </si>
  <si>
    <t>AC source</t>
  </si>
  <si>
    <t>Binder</t>
  </si>
  <si>
    <t>58-34</t>
  </si>
  <si>
    <t>64-22</t>
  </si>
  <si>
    <t>64-28</t>
  </si>
  <si>
    <t>70-28</t>
  </si>
  <si>
    <t>76-28</t>
  </si>
  <si>
    <t>Nominal Max Agg. Size</t>
  </si>
  <si>
    <t>Agg Size</t>
  </si>
  <si>
    <t>3/8"</t>
  </si>
  <si>
    <t>1/2"</t>
  </si>
  <si>
    <t>3/4"</t>
  </si>
  <si>
    <t>No. 4</t>
  </si>
  <si>
    <t>No 4</t>
  </si>
  <si>
    <t>0.45 Chart Lines based on Nom. Agg. Size</t>
  </si>
  <si>
    <t>3/8</t>
  </si>
  <si>
    <t>1/2</t>
  </si>
  <si>
    <t>3/4</t>
  </si>
  <si>
    <t>Sieve No</t>
  </si>
  <si>
    <t>1-1/2</t>
  </si>
  <si>
    <t>1</t>
  </si>
  <si>
    <t>No. 8</t>
  </si>
  <si>
    <t>No. 16</t>
  </si>
  <si>
    <t>No. 50</t>
  </si>
  <si>
    <t>No. 100</t>
  </si>
  <si>
    <t>No. 200</t>
  </si>
  <si>
    <t>No. 30</t>
  </si>
  <si>
    <t>3/4" Nom</t>
  </si>
  <si>
    <t>1/2" Nom</t>
  </si>
  <si>
    <t>3/8" Nom</t>
  </si>
  <si>
    <t>No. 4 Nom</t>
  </si>
  <si>
    <t>Y-Axis</t>
  </si>
  <si>
    <t>X-Axis</t>
  </si>
  <si>
    <t>1" Nom</t>
  </si>
  <si>
    <t>Array for Gradation Control Points</t>
  </si>
  <si>
    <t>SMA 3/4</t>
  </si>
  <si>
    <t>SMA 1/2</t>
  </si>
  <si>
    <t>SMA 3/8</t>
  </si>
  <si>
    <t>SMA #4</t>
  </si>
  <si>
    <t>SMA No. 4</t>
  </si>
  <si>
    <t>Min</t>
  </si>
  <si>
    <t>Max</t>
  </si>
  <si>
    <t>Bulk Specific Gravity at Optimum AC (Gmb)</t>
  </si>
  <si>
    <t>Percent Aggregate retained on the breakpoint Sieve</t>
  </si>
  <si>
    <t>VCAmix &lt; VCAdrc to ensure stone on stone contact</t>
  </si>
  <si>
    <t>VCA Ratio Check</t>
  </si>
  <si>
    <t xml:space="preserve">Virgin </t>
  </si>
  <si>
    <t>Natural Products</t>
  </si>
  <si>
    <t>Recycled Products</t>
  </si>
  <si>
    <t>Yes passes, No fails</t>
  </si>
  <si>
    <t>Break Point Sieve</t>
  </si>
  <si>
    <t>6.0% - 8.0%</t>
  </si>
  <si>
    <r>
      <t xml:space="preserve">Sodium Sulfate Soundness (T 104) </t>
    </r>
    <r>
      <rPr>
        <b/>
        <sz val="8"/>
        <rFont val="Arial"/>
        <family val="2"/>
      </rPr>
      <t>SMA Only</t>
    </r>
  </si>
  <si>
    <t>Marshall</t>
  </si>
  <si>
    <t>Optimum Point Data</t>
  </si>
  <si>
    <t>A.C.</t>
  </si>
  <si>
    <t>Rice</t>
  </si>
  <si>
    <t>Bulk S.G.</t>
  </si>
  <si>
    <t>Voids</t>
  </si>
  <si>
    <t>VMA</t>
  </si>
  <si>
    <t>VFA</t>
  </si>
  <si>
    <t>D/A Ratio</t>
  </si>
  <si>
    <t>Stability</t>
  </si>
  <si>
    <t>Effective AC</t>
  </si>
  <si>
    <t>58-28</t>
  </si>
  <si>
    <t xml:space="preserve">Aggregate data has been updated to include 6 columns for natural products, and 3 columns for </t>
  </si>
  <si>
    <r>
      <t xml:space="preserve">recycled products.  </t>
    </r>
    <r>
      <rPr>
        <b/>
        <sz val="10"/>
        <rFont val="Arial"/>
        <family val="2"/>
      </rPr>
      <t>Please note the area for A.C. Content below the recycled products.</t>
    </r>
  </si>
  <si>
    <t>Page 1</t>
  </si>
  <si>
    <t>Page 2</t>
  </si>
  <si>
    <t>changes VFA specs on page 2</t>
  </si>
  <si>
    <t>Moved optimum point data in columnar form to right side of mix design area.  Added calculation</t>
  </si>
  <si>
    <t>Goal of revision was to consolidate the previous worksheets into one master worksheet and make</t>
  </si>
  <si>
    <t>the majority of the calculations automatic.</t>
  </si>
  <si>
    <t>Voids Coarse Agg DRC (VCAdrc)</t>
  </si>
  <si>
    <t xml:space="preserve">Micro Deval (CP-L 4211) </t>
  </si>
  <si>
    <r>
      <t xml:space="preserve">Sand Equivalent (T-176) </t>
    </r>
    <r>
      <rPr>
        <b/>
        <sz val="8"/>
        <rFont val="Arial"/>
        <family val="2"/>
      </rPr>
      <t>WMA/HMA Only</t>
    </r>
  </si>
  <si>
    <r>
      <t xml:space="preserve">Fine Aggregate Angularity (T-304) </t>
    </r>
    <r>
      <rPr>
        <b/>
        <sz val="8"/>
        <rFont val="Arial"/>
        <family val="2"/>
      </rPr>
      <t>WMA/HMA Only</t>
    </r>
  </si>
  <si>
    <t>WMA</t>
  </si>
  <si>
    <t>WMA Additive</t>
  </si>
  <si>
    <t>1 1/2</t>
  </si>
  <si>
    <t>#4</t>
  </si>
  <si>
    <t>#8</t>
  </si>
  <si>
    <t>#16</t>
  </si>
  <si>
    <t>#30</t>
  </si>
  <si>
    <t>#50</t>
  </si>
  <si>
    <t>#100</t>
  </si>
  <si>
    <t>#200</t>
  </si>
  <si>
    <t>Passing</t>
  </si>
  <si>
    <r>
      <t>Bulk Specific Gravity of Co</t>
    </r>
    <r>
      <rPr>
        <b/>
        <sz val="8"/>
        <rFont val="Arial"/>
        <family val="2"/>
      </rPr>
      <t>a</t>
    </r>
    <r>
      <rPr>
        <sz val="8"/>
        <rFont val="Arial"/>
        <family val="2"/>
      </rPr>
      <t>rse Agg (Gca)</t>
    </r>
  </si>
  <si>
    <r>
      <t>Percent of Co</t>
    </r>
    <r>
      <rPr>
        <b/>
        <sz val="8"/>
        <rFont val="Arial"/>
        <family val="2"/>
      </rPr>
      <t>a</t>
    </r>
    <r>
      <rPr>
        <sz val="8"/>
        <rFont val="Arial"/>
        <family val="2"/>
      </rPr>
      <t>rse Agg (Pca)</t>
    </r>
  </si>
  <si>
    <r>
      <t>Voids Co</t>
    </r>
    <r>
      <rPr>
        <b/>
        <sz val="8"/>
        <rFont val="Arial"/>
        <family val="2"/>
      </rPr>
      <t>a</t>
    </r>
    <r>
      <rPr>
        <sz val="8"/>
        <rFont val="Arial"/>
        <family val="2"/>
      </rPr>
      <t>rse Agg (VCAmix)</t>
    </r>
  </si>
  <si>
    <r>
      <t>Unit Weight of Stone (</t>
    </r>
    <r>
      <rPr>
        <sz val="8"/>
        <rFont val="Symbol"/>
        <family val="1"/>
        <charset val="2"/>
      </rPr>
      <t>g</t>
    </r>
    <r>
      <rPr>
        <vertAlign val="subscript"/>
        <sz val="8"/>
        <rFont val="Arial"/>
        <family val="2"/>
      </rPr>
      <t>s</t>
    </r>
    <r>
      <rPr>
        <sz val="8"/>
        <rFont val="Arial"/>
        <family val="2"/>
      </rPr>
      <t>)</t>
    </r>
  </si>
  <si>
    <t>Page 3</t>
  </si>
  <si>
    <r>
      <t>Lab Mix No</t>
    </r>
    <r>
      <rPr>
        <sz val="8"/>
        <rFont val="Arial"/>
        <family val="2"/>
      </rPr>
      <t>.:</t>
    </r>
  </si>
  <si>
    <t>Page 6</t>
  </si>
  <si>
    <t>Page 5</t>
  </si>
  <si>
    <t>Page 4</t>
  </si>
  <si>
    <t xml:space="preserve"> % Fibers (SMA, if used)</t>
  </si>
  <si>
    <t xml:space="preserve">AC Content  </t>
  </si>
  <si>
    <t>Fractured Faces</t>
  </si>
  <si>
    <t>60 min.</t>
  </si>
  <si>
    <t>70 min.</t>
  </si>
  <si>
    <t>90 min.</t>
  </si>
  <si>
    <t>Plasticity of Mineral Filler (T-90)</t>
  </si>
  <si>
    <t>4% max.</t>
  </si>
  <si>
    <t>18 max.</t>
  </si>
  <si>
    <t>12 max.</t>
  </si>
  <si>
    <t>Calcium Oxide Content (ASTM C25)</t>
  </si>
  <si>
    <t>22% max.</t>
  </si>
  <si>
    <t>Modified Rigden Voids (NAPS IS-101)</t>
  </si>
  <si>
    <r>
      <rPr>
        <sz val="8"/>
        <rFont val="Calibri"/>
        <family val="2"/>
      </rPr>
      <t>≤</t>
    </r>
    <r>
      <rPr>
        <sz val="8"/>
        <rFont val="Arial"/>
        <family val="2"/>
      </rPr>
      <t>50</t>
    </r>
  </si>
  <si>
    <t>SMA Specific Input and Calculations</t>
  </si>
  <si>
    <t>Antistrip Additive (other than lime if used), %</t>
  </si>
  <si>
    <t xml:space="preserve">Antistrip Additive Material </t>
  </si>
  <si>
    <r>
      <t>Stability (CP-L 5106)</t>
    </r>
    <r>
      <rPr>
        <b/>
        <sz val="8"/>
        <rFont val="Arial"/>
        <family val="2"/>
      </rPr>
      <t>(Grade S and SX Only)</t>
    </r>
  </si>
  <si>
    <t xml:space="preserve">Total Binder Replaced </t>
  </si>
  <si>
    <t>Other</t>
  </si>
  <si>
    <t>Max Dens Line Array</t>
  </si>
  <si>
    <t>Laboratory Design for Asphalt</t>
  </si>
  <si>
    <t xml:space="preserve">changes the control points in the aggregate data and on the 0.45 gradation figure.  Design gyrations </t>
  </si>
  <si>
    <t xml:space="preserve">Added drop down lists for Region #, HMA Grading, NMAS, Design Gyrations, and Grade of Binder. </t>
  </si>
  <si>
    <t xml:space="preserve">The NMAS controls the max density line on the 0.45 gradation figure, and the HMA grading </t>
  </si>
  <si>
    <t>Added Sodium Sulfate Soundness to bottom of Agg. Data area.</t>
  </si>
  <si>
    <t>Spreadsheet conducts a VCA Ratio check.</t>
  </si>
  <si>
    <t>for total binder replace if recycled products are used.</t>
  </si>
  <si>
    <t>Added area of SMA calculation for VCA.  Need to input Unit Weight of Stone and Break point sieve,</t>
  </si>
  <si>
    <t>Form #429 was written in Microsoft Excel 2010 and consists of six pages of information that is pertinent to</t>
  </si>
  <si>
    <t>asphalt mix designs.  Shaded areas will require input.  Other areas contain standard information or information</t>
  </si>
  <si>
    <t>that will be calculated from the data that is input.</t>
  </si>
  <si>
    <t>Directions for CDOT Form # 429</t>
  </si>
  <si>
    <t>Worksheets</t>
  </si>
  <si>
    <t xml:space="preserve">The first page deals with aggregate information.  </t>
  </si>
  <si>
    <t xml:space="preserve">The second page will carry over the Lab name from the first page.  The Maximum Specific Gravity will be </t>
  </si>
  <si>
    <t>content is supplied.  Much of the information on this page will be calculated by the worksheet.  Again, shaded</t>
  </si>
  <si>
    <t>areas must be input.</t>
  </si>
  <si>
    <t>Check the specifications for accuracy.  Some of the specifications are dependent on the traffic ESALs and will</t>
  </si>
  <si>
    <t>vary within a Superpave gradation.</t>
  </si>
  <si>
    <t>Graphs</t>
  </si>
  <si>
    <t>The graphs will be created automatically from the input information.</t>
  </si>
  <si>
    <t>Miscellaneous</t>
  </si>
  <si>
    <t xml:space="preserve">The unshaded fields are protected with a password.  </t>
  </si>
  <si>
    <t>automatically calculated at different asphalt contents if the maximum specific gravity at the optimum asphalt</t>
  </si>
  <si>
    <r>
      <rPr>
        <sz val="8"/>
        <rFont val="Calibri"/>
        <family val="2"/>
      </rPr>
      <t>≤</t>
    </r>
    <r>
      <rPr>
        <sz val="8"/>
        <rFont val="Arial"/>
        <family val="2"/>
      </rPr>
      <t>30% RAS   ≤23% RAP</t>
    </r>
  </si>
  <si>
    <t xml:space="preserve">Sample ID:  </t>
  </si>
  <si>
    <t>Contract ID.</t>
  </si>
  <si>
    <t>Project Location</t>
  </si>
  <si>
    <t>Project No.</t>
  </si>
  <si>
    <t>Draindown (T-305)</t>
  </si>
  <si>
    <t>0.3% max.</t>
  </si>
  <si>
    <t>Added Draindown, Plasticity of Mineral Filler, Calcium Oxide Content, and Modified Rigden voids to bottom of SMA Specific Input and Calculations area.</t>
  </si>
  <si>
    <t>ST</t>
  </si>
  <si>
    <t>SF</t>
  </si>
  <si>
    <t>Earth Engineering</t>
  </si>
  <si>
    <t>ABC</t>
  </si>
  <si>
    <t>STA 0361-095</t>
  </si>
  <si>
    <t>US 36 Boulder East</t>
  </si>
  <si>
    <t>ASCI</t>
  </si>
  <si>
    <t>Frei / Everst / Quince</t>
  </si>
  <si>
    <t>Suncor</t>
  </si>
  <si>
    <t>1/2" Rock</t>
  </si>
  <si>
    <t>Fines</t>
  </si>
  <si>
    <t>Squeegee</t>
  </si>
  <si>
    <t>Sand</t>
  </si>
  <si>
    <t>Lime</t>
  </si>
  <si>
    <t>RAP</t>
  </si>
  <si>
    <t>RAS</t>
  </si>
  <si>
    <t xml:space="preserve">Frei </t>
  </si>
  <si>
    <t>LG Everist</t>
  </si>
  <si>
    <t>Pete Lien</t>
  </si>
  <si>
    <t>NP</t>
  </si>
  <si>
    <t>&gt;14.7</t>
  </si>
  <si>
    <t>0.6-1.2 Fine, 0.8-1.6 Coarse</t>
  </si>
  <si>
    <t>CDOT Form #429    05/18</t>
  </si>
  <si>
    <t>CDOT Form #429   05/18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</si>
</sst>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%"/>
  </numFmts>
  <fonts count="14" x14ac:knownFonts="1">
    <font>
      <sz val="10"/>
      <name val="Arial"/>
    </font>
    <font>
      <sz val="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vertAlign val="subscript"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</font>
    <font>
      <b/>
      <sz val="10"/>
      <name val="Arial"/>
      <family val="2"/>
    </font>
    <font>
      <sz val="8"/>
      <name val="Symbol"/>
      <family val="1"/>
      <charset val="2"/>
    </font>
    <font>
      <sz val="8"/>
      <color rgb="FF000000"/>
      <name val="Tahoma"/>
      <family val="2"/>
    </font>
    <font>
      <sz val="8"/>
      <color theme="1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92">
    <xf numFmtId="0" fontId="0" fillId="0" borderId="0" xfId="0"/>
    <xf numFmtId="1" fontId="1" fillId="0" borderId="0" xfId="0" applyNumberFormat="1" applyFont="1" applyBorder="1" applyAlignment="1" applyProtection="1">
      <alignment horizontal="center"/>
    </xf>
    <xf numFmtId="164" fontId="1" fillId="0" borderId="1" xfId="0" applyNumberFormat="1" applyFont="1" applyBorder="1" applyAlignment="1" applyProtection="1">
      <alignment horizontal="center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1" fontId="1" fillId="2" borderId="0" xfId="0" applyNumberFormat="1" applyFon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5" fontId="1" fillId="2" borderId="0" xfId="0" applyNumberFormat="1" applyFont="1" applyFill="1" applyBorder="1" applyAlignment="1" applyProtection="1">
      <alignment horizontal="center"/>
      <protection locked="0"/>
    </xf>
    <xf numFmtId="166" fontId="1" fillId="2" borderId="0" xfId="0" applyNumberFormat="1" applyFont="1" applyFill="1" applyBorder="1" applyAlignment="1" applyProtection="1">
      <alignment horizontal="center"/>
      <protection locked="0"/>
    </xf>
    <xf numFmtId="9" fontId="1" fillId="2" borderId="0" xfId="0" applyNumberFormat="1" applyFont="1" applyFill="1" applyBorder="1" applyAlignment="1" applyProtection="1">
      <alignment horizontal="center"/>
      <protection locked="0"/>
    </xf>
    <xf numFmtId="165" fontId="1" fillId="2" borderId="0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164" fontId="1" fillId="2" borderId="0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14" fontId="1" fillId="2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Protection="1"/>
    <xf numFmtId="165" fontId="1" fillId="0" borderId="0" xfId="0" applyNumberFormat="1" applyFont="1" applyBorder="1" applyProtection="1"/>
    <xf numFmtId="164" fontId="1" fillId="0" borderId="0" xfId="0" applyNumberFormat="1" applyFont="1" applyFill="1" applyBorder="1" applyProtection="1"/>
    <xf numFmtId="0" fontId="1" fillId="0" borderId="0" xfId="0" applyFont="1" applyBorder="1" applyProtection="1"/>
    <xf numFmtId="1" fontId="1" fillId="0" borderId="0" xfId="0" applyNumberFormat="1" applyFont="1" applyFill="1" applyBorder="1" applyProtection="1"/>
    <xf numFmtId="165" fontId="1" fillId="0" borderId="0" xfId="0" applyNumberFormat="1" applyFont="1" applyFill="1" applyBorder="1" applyAlignment="1" applyProtection="1">
      <alignment horizontal="right"/>
    </xf>
    <xf numFmtId="2" fontId="1" fillId="0" borderId="0" xfId="0" applyNumberFormat="1" applyFont="1" applyFill="1" applyBorder="1" applyProtection="1"/>
    <xf numFmtId="165" fontId="1" fillId="0" borderId="0" xfId="0" applyNumberFormat="1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1" fontId="1" fillId="2" borderId="1" xfId="0" applyNumberFormat="1" applyFont="1" applyFill="1" applyBorder="1" applyProtection="1"/>
    <xf numFmtId="0" fontId="4" fillId="0" borderId="0" xfId="0" applyFont="1" applyProtection="1">
      <protection locked="0"/>
    </xf>
    <xf numFmtId="0" fontId="0" fillId="3" borderId="0" xfId="0" applyFill="1" applyProtection="1">
      <protection locked="0"/>
    </xf>
    <xf numFmtId="16" fontId="4" fillId="0" borderId="0" xfId="0" quotePrefix="1" applyNumberFormat="1" applyFont="1" applyProtection="1">
      <protection locked="0"/>
    </xf>
    <xf numFmtId="0" fontId="4" fillId="0" borderId="0" xfId="0" quotePrefix="1" applyFont="1" applyProtection="1">
      <protection locked="0"/>
    </xf>
    <xf numFmtId="0" fontId="0" fillId="4" borderId="0" xfId="0" applyFill="1" applyProtection="1">
      <protection locked="0"/>
    </xf>
    <xf numFmtId="0" fontId="4" fillId="4" borderId="0" xfId="0" applyFont="1" applyFill="1" applyProtection="1">
      <protection locked="0"/>
    </xf>
    <xf numFmtId="1" fontId="0" fillId="4" borderId="0" xfId="0" applyNumberFormat="1" applyFill="1" applyProtection="1">
      <protection locked="0"/>
    </xf>
    <xf numFmtId="0" fontId="0" fillId="0" borderId="0" xfId="0" applyNumberFormat="1" applyProtection="1"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Protection="1">
      <protection locked="0"/>
    </xf>
    <xf numFmtId="1" fontId="1" fillId="3" borderId="0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0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/>
    <xf numFmtId="0" fontId="1" fillId="2" borderId="6" xfId="0" applyFon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16" fontId="4" fillId="0" borderId="0" xfId="0" applyNumberFormat="1" applyFont="1" applyProtection="1">
      <protection locked="0"/>
    </xf>
    <xf numFmtId="0" fontId="1" fillId="0" borderId="0" xfId="0" applyFont="1" applyFill="1" applyProtection="1">
      <protection locked="0"/>
    </xf>
    <xf numFmtId="164" fontId="1" fillId="0" borderId="0" xfId="0" applyNumberFormat="1" applyFont="1" applyBorder="1" applyProtection="1"/>
    <xf numFmtId="1" fontId="1" fillId="0" borderId="0" xfId="0" applyNumberFormat="1" applyFont="1" applyBorder="1" applyProtection="1"/>
    <xf numFmtId="2" fontId="1" fillId="0" borderId="0" xfId="0" applyNumberFormat="1" applyFont="1" applyBorder="1" applyProtection="1"/>
    <xf numFmtId="0" fontId="1" fillId="0" borderId="0" xfId="0" applyFont="1" applyFill="1" applyBorder="1" applyProtection="1"/>
    <xf numFmtId="165" fontId="1" fillId="0" borderId="0" xfId="0" applyNumberFormat="1" applyFont="1" applyFill="1" applyBorder="1" applyProtection="1"/>
    <xf numFmtId="9" fontId="1" fillId="0" borderId="10" xfId="0" applyNumberFormat="1" applyFont="1" applyFill="1" applyBorder="1" applyAlignment="1" applyProtection="1">
      <alignment horizontal="center"/>
    </xf>
    <xf numFmtId="164" fontId="1" fillId="0" borderId="1" xfId="0" applyNumberFormat="1" applyFont="1" applyFill="1" applyBorder="1" applyProtection="1"/>
    <xf numFmtId="0" fontId="3" fillId="0" borderId="0" xfId="0" applyFont="1" applyBorder="1" applyProtection="1"/>
    <xf numFmtId="0" fontId="1" fillId="3" borderId="6" xfId="0" applyFont="1" applyFill="1" applyBorder="1" applyAlignment="1" applyProtection="1">
      <alignment horizontal="center"/>
      <protection locked="0"/>
    </xf>
    <xf numFmtId="0" fontId="4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6" xfId="0" applyFont="1" applyFill="1" applyBorder="1" applyAlignment="1" applyProtection="1">
      <alignment horizontal="center"/>
    </xf>
    <xf numFmtId="1" fontId="1" fillId="0" borderId="10" xfId="0" applyNumberFormat="1" applyFont="1" applyFill="1" applyBorder="1" applyAlignment="1" applyProtection="1">
      <alignment horizontal="center"/>
    </xf>
    <xf numFmtId="164" fontId="1" fillId="0" borderId="13" xfId="0" applyNumberFormat="1" applyFont="1" applyFill="1" applyBorder="1" applyAlignment="1" applyProtection="1">
      <alignment horizontal="center"/>
    </xf>
    <xf numFmtId="0" fontId="0" fillId="3" borderId="1" xfId="0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</xf>
    <xf numFmtId="0" fontId="1" fillId="3" borderId="2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49" fontId="1" fillId="2" borderId="0" xfId="0" applyNumberFormat="1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1" fillId="0" borderId="1" xfId="0" applyFont="1" applyFill="1" applyBorder="1" applyProtection="1"/>
    <xf numFmtId="1" fontId="1" fillId="0" borderId="21" xfId="0" applyNumberFormat="1" applyFont="1" applyFill="1" applyBorder="1" applyAlignment="1" applyProtection="1">
      <alignment horizontal="center"/>
    </xf>
    <xf numFmtId="1" fontId="1" fillId="0" borderId="14" xfId="0" applyNumberFormat="1" applyFont="1" applyFill="1" applyBorder="1" applyAlignment="1" applyProtection="1">
      <alignment horizontal="center"/>
    </xf>
    <xf numFmtId="164" fontId="1" fillId="0" borderId="16" xfId="0" applyNumberFormat="1" applyFont="1" applyFill="1" applyBorder="1" applyAlignment="1" applyProtection="1">
      <alignment horizontal="center"/>
    </xf>
    <xf numFmtId="0" fontId="1" fillId="0" borderId="0" xfId="0" quotePrefix="1" applyFont="1" applyProtection="1">
      <protection locked="0"/>
    </xf>
    <xf numFmtId="164" fontId="1" fillId="3" borderId="0" xfId="0" applyNumberFormat="1" applyFont="1" applyFill="1" applyBorder="1" applyProtection="1">
      <protection locked="0"/>
    </xf>
    <xf numFmtId="0" fontId="1" fillId="5" borderId="2" xfId="0" applyFont="1" applyFill="1" applyBorder="1" applyProtection="1"/>
    <xf numFmtId="1" fontId="1" fillId="0" borderId="0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right"/>
    </xf>
    <xf numFmtId="164" fontId="1" fillId="0" borderId="1" xfId="0" applyNumberFormat="1" applyFont="1" applyFill="1" applyBorder="1" applyAlignment="1" applyProtection="1">
      <alignment horizontal="right"/>
    </xf>
    <xf numFmtId="0" fontId="0" fillId="0" borderId="0" xfId="0" quotePrefix="1" applyProtection="1">
      <protection locked="0"/>
    </xf>
    <xf numFmtId="14" fontId="0" fillId="0" borderId="0" xfId="0" quotePrefix="1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1" fillId="0" borderId="2" xfId="0" applyFont="1" applyBorder="1" applyProtection="1"/>
    <xf numFmtId="0" fontId="3" fillId="0" borderId="3" xfId="0" applyFont="1" applyBorder="1" applyProtection="1"/>
    <xf numFmtId="0" fontId="3" fillId="0" borderId="2" xfId="0" applyFont="1" applyBorder="1" applyProtection="1"/>
    <xf numFmtId="0" fontId="1" fillId="0" borderId="4" xfId="0" applyFont="1" applyBorder="1" applyProtection="1"/>
    <xf numFmtId="0" fontId="3" fillId="0" borderId="5" xfId="0" applyFont="1" applyBorder="1" applyProtection="1"/>
    <xf numFmtId="0" fontId="3" fillId="0" borderId="6" xfId="0" applyFont="1" applyBorder="1" applyProtection="1"/>
    <xf numFmtId="0" fontId="1" fillId="0" borderId="6" xfId="0" applyFont="1" applyBorder="1" applyProtection="1"/>
    <xf numFmtId="0" fontId="3" fillId="0" borderId="7" xfId="0" applyFont="1" applyBorder="1" applyProtection="1"/>
    <xf numFmtId="164" fontId="1" fillId="0" borderId="6" xfId="0" applyNumberFormat="1" applyFont="1" applyBorder="1" applyAlignment="1" applyProtection="1">
      <alignment horizontal="left"/>
    </xf>
    <xf numFmtId="0" fontId="1" fillId="0" borderId="8" xfId="0" applyFont="1" applyBorder="1" applyProtection="1"/>
    <xf numFmtId="0" fontId="3" fillId="0" borderId="9" xfId="0" applyFont="1" applyBorder="1" applyProtection="1"/>
    <xf numFmtId="0" fontId="0" fillId="0" borderId="0" xfId="0" applyProtection="1"/>
    <xf numFmtId="0" fontId="1" fillId="0" borderId="10" xfId="0" applyFont="1" applyBorder="1" applyProtection="1"/>
    <xf numFmtId="0" fontId="1" fillId="0" borderId="9" xfId="0" applyFont="1" applyBorder="1" applyProtection="1"/>
    <xf numFmtId="0" fontId="1" fillId="0" borderId="13" xfId="0" applyFont="1" applyBorder="1" applyProtection="1"/>
    <xf numFmtId="0" fontId="3" fillId="0" borderId="11" xfId="0" applyFont="1" applyBorder="1" applyProtection="1"/>
    <xf numFmtId="0" fontId="1" fillId="0" borderId="2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right"/>
    </xf>
    <xf numFmtId="0" fontId="0" fillId="3" borderId="2" xfId="0" applyFill="1" applyBorder="1" applyProtection="1"/>
    <xf numFmtId="0" fontId="0" fillId="0" borderId="0" xfId="0" applyBorder="1" applyProtection="1"/>
    <xf numFmtId="0" fontId="1" fillId="0" borderId="0" xfId="0" applyFont="1" applyFill="1" applyBorder="1" applyAlignment="1" applyProtection="1">
      <alignment horizontal="right"/>
    </xf>
    <xf numFmtId="0" fontId="1" fillId="0" borderId="12" xfId="0" applyFont="1" applyBorder="1" applyProtection="1"/>
    <xf numFmtId="0" fontId="0" fillId="0" borderId="1" xfId="0" applyBorder="1" applyProtection="1"/>
    <xf numFmtId="0" fontId="0" fillId="0" borderId="1" xfId="0" applyFill="1" applyBorder="1" applyProtection="1"/>
    <xf numFmtId="0" fontId="1" fillId="0" borderId="1" xfId="0" applyFont="1" applyBorder="1" applyAlignment="1" applyProtection="1">
      <alignment horizontal="right"/>
    </xf>
    <xf numFmtId="0" fontId="0" fillId="0" borderId="13" xfId="0" applyBorder="1" applyProtection="1"/>
    <xf numFmtId="0" fontId="3" fillId="0" borderId="1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0" fillId="0" borderId="9" xfId="0" applyBorder="1" applyProtection="1"/>
    <xf numFmtId="0" fontId="0" fillId="0" borderId="0" xfId="0" applyFill="1" applyBorder="1" applyProtection="1"/>
    <xf numFmtId="0" fontId="1" fillId="0" borderId="5" xfId="0" applyFont="1" applyBorder="1" applyProtection="1"/>
    <xf numFmtId="0" fontId="0" fillId="0" borderId="6" xfId="0" applyFill="1" applyBorder="1" applyProtection="1"/>
    <xf numFmtId="0" fontId="1" fillId="0" borderId="6" xfId="0" applyFont="1" applyFill="1" applyBorder="1" applyProtection="1"/>
    <xf numFmtId="0" fontId="1" fillId="0" borderId="20" xfId="0" applyFont="1" applyBorder="1" applyProtection="1"/>
    <xf numFmtId="0" fontId="1" fillId="0" borderId="19" xfId="0" applyFont="1" applyBorder="1" applyProtection="1"/>
    <xf numFmtId="49" fontId="1" fillId="0" borderId="0" xfId="0" applyNumberFormat="1" applyFont="1" applyBorder="1" applyProtection="1"/>
    <xf numFmtId="0" fontId="1" fillId="0" borderId="0" xfId="0" quotePrefix="1" applyFont="1" applyBorder="1" applyProtection="1"/>
    <xf numFmtId="49" fontId="1" fillId="0" borderId="1" xfId="0" applyNumberFormat="1" applyFont="1" applyBorder="1" applyProtection="1"/>
    <xf numFmtId="0" fontId="1" fillId="0" borderId="1" xfId="0" quotePrefix="1" applyFont="1" applyBorder="1" applyProtection="1"/>
    <xf numFmtId="164" fontId="1" fillId="0" borderId="0" xfId="0" applyNumberFormat="1" applyFont="1" applyBorder="1" applyAlignment="1" applyProtection="1">
      <alignment horizontal="center"/>
    </xf>
    <xf numFmtId="0" fontId="1" fillId="0" borderId="0" xfId="0" applyNumberFormat="1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166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/>
    </xf>
    <xf numFmtId="0" fontId="1" fillId="0" borderId="9" xfId="0" applyFont="1" applyFill="1" applyBorder="1" applyProtection="1"/>
    <xf numFmtId="0" fontId="0" fillId="0" borderId="12" xfId="0" applyBorder="1" applyProtection="1"/>
    <xf numFmtId="0" fontId="1" fillId="0" borderId="1" xfId="0" applyFont="1" applyFill="1" applyBorder="1" applyAlignment="1" applyProtection="1">
      <alignment horizontal="center"/>
    </xf>
    <xf numFmtId="0" fontId="1" fillId="0" borderId="13" xfId="0" applyFont="1" applyFill="1" applyBorder="1" applyAlignment="1" applyProtection="1">
      <alignment horizontal="center"/>
    </xf>
    <xf numFmtId="0" fontId="3" fillId="0" borderId="14" xfId="0" applyFont="1" applyBorder="1" applyProtection="1"/>
    <xf numFmtId="0" fontId="1" fillId="0" borderId="0" xfId="0" applyFont="1" applyFill="1" applyBorder="1" applyAlignment="1" applyProtection="1">
      <alignment horizontal="left"/>
    </xf>
    <xf numFmtId="0" fontId="1" fillId="0" borderId="15" xfId="0" applyFont="1" applyBorder="1" applyProtection="1"/>
    <xf numFmtId="164" fontId="1" fillId="0" borderId="0" xfId="0" applyNumberFormat="1" applyFont="1" applyBorder="1" applyAlignment="1" applyProtection="1">
      <alignment horizontal="left"/>
    </xf>
    <xf numFmtId="0" fontId="3" fillId="0" borderId="16" xfId="0" applyFont="1" applyBorder="1" applyProtection="1"/>
    <xf numFmtId="0" fontId="3" fillId="0" borderId="1" xfId="0" applyFont="1" applyBorder="1" applyProtection="1"/>
    <xf numFmtId="0" fontId="1" fillId="0" borderId="16" xfId="0" applyFont="1" applyBorder="1" applyProtection="1"/>
    <xf numFmtId="0" fontId="1" fillId="0" borderId="17" xfId="0" applyFont="1" applyBorder="1" applyProtection="1"/>
    <xf numFmtId="0" fontId="1" fillId="0" borderId="14" xfId="0" applyFont="1" applyBorder="1" applyProtection="1"/>
    <xf numFmtId="164" fontId="1" fillId="2" borderId="0" xfId="0" applyNumberFormat="1" applyFont="1" applyFill="1" applyBorder="1" applyProtection="1"/>
    <xf numFmtId="0" fontId="12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right"/>
    </xf>
    <xf numFmtId="164" fontId="1" fillId="2" borderId="0" xfId="0" applyNumberFormat="1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4" fillId="0" borderId="0" xfId="0" applyFont="1" applyProtection="1"/>
    <xf numFmtId="0" fontId="2" fillId="0" borderId="0" xfId="0" applyFont="1" applyProtection="1"/>
    <xf numFmtId="10" fontId="0" fillId="3" borderId="0" xfId="0" applyNumberFormat="1" applyFill="1" applyBorder="1" applyProtection="1">
      <protection locked="0"/>
    </xf>
    <xf numFmtId="0" fontId="4" fillId="3" borderId="0" xfId="0" applyFont="1" applyFill="1" applyProtection="1">
      <protection locked="0"/>
    </xf>
    <xf numFmtId="0" fontId="13" fillId="0" borderId="0" xfId="0" applyFont="1"/>
    <xf numFmtId="165" fontId="1" fillId="0" borderId="0" xfId="0" applyNumberFormat="1" applyFont="1" applyBorder="1" applyAlignment="1" applyProtection="1">
      <alignment horizontal="center"/>
    </xf>
    <xf numFmtId="165" fontId="0" fillId="0" borderId="0" xfId="0" applyNumberFormat="1" applyProtection="1"/>
    <xf numFmtId="0" fontId="1" fillId="0" borderId="17" xfId="0" applyFont="1" applyFill="1" applyBorder="1" applyAlignment="1" applyProtection="1">
      <alignment horizontal="left" wrapText="1"/>
    </xf>
    <xf numFmtId="0" fontId="1" fillId="0" borderId="1" xfId="0" applyFont="1" applyFill="1" applyBorder="1" applyAlignment="1" applyProtection="1">
      <alignment horizontal="left" wrapText="1"/>
    </xf>
    <xf numFmtId="0" fontId="3" fillId="2" borderId="16" xfId="0" applyFont="1" applyFill="1" applyBorder="1" applyProtection="1"/>
    <xf numFmtId="0" fontId="3" fillId="2" borderId="1" xfId="0" applyFont="1" applyFill="1" applyBorder="1" applyProtection="1"/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Protection="1">
      <protection locked="0"/>
    </xf>
    <xf numFmtId="0" fontId="4" fillId="0" borderId="0" xfId="0" applyFont="1" applyAlignment="1">
      <alignment horizontal="left" vertical="top" wrapText="1"/>
    </xf>
    <xf numFmtId="0" fontId="3" fillId="2" borderId="1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14" fontId="1" fillId="2" borderId="18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3" borderId="0" xfId="0" applyFont="1" applyFill="1" applyBorder="1" applyAlignment="1" applyProtection="1">
      <alignment horizontal="left"/>
      <protection locked="0"/>
    </xf>
    <xf numFmtId="0" fontId="1" fillId="3" borderId="10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/>
    <xf numFmtId="0" fontId="3" fillId="0" borderId="2" xfId="0" applyFont="1" applyFill="1" applyBorder="1" applyAlignment="1" applyProtection="1"/>
    <xf numFmtId="0" fontId="0" fillId="0" borderId="2" xfId="0" applyFill="1" applyBorder="1" applyAlignment="1" applyProtection="1"/>
    <xf numFmtId="0" fontId="4" fillId="0" borderId="0" xfId="0" applyFont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</cellXfs>
  <cellStyles count="2">
    <cellStyle name="Normal" xfId="0" builtinId="0"/>
    <cellStyle name="Normal 2" xfId="1"/>
  </cellStyles>
  <dxfs count="32">
    <dxf>
      <font>
        <color theme="0"/>
      </font>
    </dxf>
    <dxf>
      <font>
        <color theme="0"/>
      </font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ont>
        <color theme="0"/>
      </font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Voids vs. A.C. Content</a:t>
            </a:r>
          </a:p>
        </c:rich>
      </c:tx>
      <c:layout>
        <c:manualLayout>
          <c:xMode val="edge"/>
          <c:yMode val="edge"/>
          <c:x val="0.38062784443895398"/>
          <c:y val="3.80622837370242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8962318367501"/>
          <c:y val="0.12292547313164803"/>
          <c:w val="0.80175791241798378"/>
          <c:h val="0.7291469816272966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5875"/>
            </c:spPr>
            <c:trendlineType val="poly"/>
            <c:order val="3"/>
            <c:dispRSqr val="0"/>
            <c:dispEq val="0"/>
          </c:trendline>
          <c:xVal>
            <c:numRef>
              <c:f>'Form 429 Example'!$H$50:$K$50</c:f>
              <c:numCache>
                <c:formatCode>0.00</c:formatCode>
                <c:ptCount val="4"/>
                <c:pt idx="0">
                  <c:v>4.5999999999999996</c:v>
                </c:pt>
                <c:pt idx="1">
                  <c:v>5.0999999999999996</c:v>
                </c:pt>
                <c:pt idx="2">
                  <c:v>5.6</c:v>
                </c:pt>
                <c:pt idx="3">
                  <c:v>6.1</c:v>
                </c:pt>
              </c:numCache>
            </c:numRef>
          </c:xVal>
          <c:yVal>
            <c:numRef>
              <c:f>'Form 429 Example'!$H$56:$K$56</c:f>
              <c:numCache>
                <c:formatCode>0.0</c:formatCode>
                <c:ptCount val="4"/>
                <c:pt idx="0">
                  <c:v>5.7243574169234321</c:v>
                </c:pt>
                <c:pt idx="1">
                  <c:v>4.2089173784059453</c:v>
                </c:pt>
                <c:pt idx="2">
                  <c:v>2.9219105603149345</c:v>
                </c:pt>
                <c:pt idx="3">
                  <c:v>1.8687628398363867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B1-4AA5-B7BC-96FEC53AA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669024"/>
        <c:axId val="274669416"/>
      </c:scatterChart>
      <c:valAx>
        <c:axId val="274669024"/>
        <c:scaling>
          <c:orientation val="minMax"/>
          <c:min val="4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A.C. Content</a:t>
                </a:r>
              </a:p>
            </c:rich>
          </c:tx>
          <c:layout>
            <c:manualLayout>
              <c:xMode val="edge"/>
              <c:yMode val="edge"/>
              <c:x val="0.46029467513006672"/>
              <c:y val="0.9255311507114242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669416"/>
        <c:crosses val="autoZero"/>
        <c:crossBetween val="midCat"/>
        <c:majorUnit val="1"/>
        <c:minorUnit val="0.1"/>
      </c:valAx>
      <c:valAx>
        <c:axId val="274669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Voids (percent)</a:t>
                </a:r>
              </a:p>
            </c:rich>
          </c:tx>
          <c:layout>
            <c:manualLayout>
              <c:xMode val="edge"/>
              <c:yMode val="edge"/>
              <c:x val="2.1828103683492497E-2"/>
              <c:y val="0.325260242123713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669024"/>
        <c:crosses val="autoZero"/>
        <c:crossBetween val="midCat"/>
        <c:majorUnit val="1"/>
        <c:minorUnit val="0.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VFA vs. A.C. Content</a:t>
            </a:r>
          </a:p>
        </c:rich>
      </c:tx>
      <c:layout>
        <c:manualLayout>
          <c:xMode val="edge"/>
          <c:yMode val="edge"/>
          <c:x val="0.38881338332026366"/>
          <c:y val="3.7931034482758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27889628368142"/>
          <c:y val="0.1302637057256282"/>
          <c:w val="0.81923802583417782"/>
          <c:h val="0.71526031382300126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9050"/>
            </c:spPr>
            <c:trendlineType val="poly"/>
            <c:order val="3"/>
            <c:dispRSqr val="0"/>
            <c:dispEq val="0"/>
          </c:trendline>
          <c:xVal>
            <c:numRef>
              <c:f>'Form 429 Blank'!$H$50:$K$50</c:f>
              <c:numCache>
                <c:formatCode>0.00</c:formatCode>
                <c:ptCount val="4"/>
              </c:numCache>
            </c:numRef>
          </c:xVal>
          <c:yVal>
            <c:numRef>
              <c:f>'Form 429 Blank'!$H$59:$K$59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1A-4F3A-A211-2DCA6C0B6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975152"/>
        <c:axId val="278975544"/>
      </c:scatterChart>
      <c:valAx>
        <c:axId val="278975152"/>
        <c:scaling>
          <c:orientation val="minMax"/>
          <c:max val="8"/>
          <c:min val="4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A.C. Content</a:t>
                </a:r>
              </a:p>
            </c:rich>
          </c:tx>
          <c:layout>
            <c:manualLayout>
              <c:xMode val="edge"/>
              <c:yMode val="edge"/>
              <c:x val="0.48665667195424539"/>
              <c:y val="0.924618447461869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975544"/>
        <c:crossesAt val="40"/>
        <c:crossBetween val="midCat"/>
        <c:majorUnit val="1"/>
        <c:minorUnit val="0.1"/>
      </c:valAx>
      <c:valAx>
        <c:axId val="278975544"/>
        <c:scaling>
          <c:orientation val="minMax"/>
          <c:max val="9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VFA (percent)</a:t>
                </a:r>
              </a:p>
            </c:rich>
          </c:tx>
          <c:layout>
            <c:manualLayout>
              <c:xMode val="edge"/>
              <c:yMode val="edge"/>
              <c:x val="3.0013642564802184E-2"/>
              <c:y val="0.313793103448275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975152"/>
        <c:crosses val="autoZero"/>
        <c:crossBetween val="midCat"/>
        <c:majorUnit val="10"/>
        <c:min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Stability vs. A.C. Content</a:t>
            </a:r>
          </a:p>
        </c:rich>
      </c:tx>
      <c:layout>
        <c:manualLayout>
          <c:xMode val="edge"/>
          <c:yMode val="edge"/>
          <c:x val="0.36885288929047799"/>
          <c:y val="3.80622837370242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97998586090051"/>
          <c:y val="0.14054029299749995"/>
          <c:w val="0.82032032373662267"/>
          <c:h val="0.72329345367052811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9050"/>
            </c:spPr>
            <c:trendlineType val="poly"/>
            <c:order val="2"/>
            <c:dispRSqr val="0"/>
            <c:dispEq val="0"/>
          </c:trendline>
          <c:xVal>
            <c:numRef>
              <c:f>'Form 429 Blank'!$H$50:$K$50</c:f>
              <c:numCache>
                <c:formatCode>0.00</c:formatCode>
                <c:ptCount val="4"/>
              </c:numCache>
            </c:numRef>
          </c:xVal>
          <c:yVal>
            <c:numRef>
              <c:f>'Form 429 Blank'!$H$63:$K$63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B0-4AD4-8C2F-7F764C637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976328"/>
        <c:axId val="278976720"/>
      </c:scatterChart>
      <c:valAx>
        <c:axId val="278976328"/>
        <c:scaling>
          <c:orientation val="minMax"/>
          <c:min val="4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A.C. Content</a:t>
                </a:r>
              </a:p>
            </c:rich>
          </c:tx>
          <c:layout>
            <c:manualLayout>
              <c:xMode val="edge"/>
              <c:yMode val="edge"/>
              <c:x val="0.45277988542537384"/>
              <c:y val="0.921087355865839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976720"/>
        <c:crosses val="autoZero"/>
        <c:crossBetween val="midCat"/>
        <c:majorUnit val="1"/>
        <c:minorUnit val="0.1"/>
      </c:valAx>
      <c:valAx>
        <c:axId val="278976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Stability</a:t>
                </a:r>
              </a:p>
            </c:rich>
          </c:tx>
          <c:layout>
            <c:manualLayout>
              <c:xMode val="edge"/>
              <c:yMode val="edge"/>
              <c:x val="2.185792349726776E-2"/>
              <c:y val="0.397924601985305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976328"/>
        <c:crosses val="autoZero"/>
        <c:crossBetween val="midCat"/>
        <c:majorUnit val="5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Aggregate Gradation</a:t>
            </a:r>
          </a:p>
        </c:rich>
      </c:tx>
      <c:layout>
        <c:manualLayout>
          <c:xMode val="edge"/>
          <c:yMode val="edge"/>
          <c:x val="0.3390039003326285"/>
          <c:y val="2.99785867237687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08574173670086"/>
          <c:y val="0.16159160104986878"/>
          <c:w val="0.85540755489607556"/>
          <c:h val="0.76245102362204731"/>
        </c:manualLayout>
      </c:layout>
      <c:scatterChart>
        <c:scatterStyle val="smoothMarker"/>
        <c:varyColors val="0"/>
        <c:ser>
          <c:idx val="2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'Form 429 Blank'!$S$23:$S$26</c:f>
              <c:numCache>
                <c:formatCode>General</c:formatCode>
                <c:ptCount val="4"/>
                <c:pt idx="0">
                  <c:v>1.4716698795820382</c:v>
                </c:pt>
                <c:pt idx="1">
                  <c:v>1.0773254099250416</c:v>
                </c:pt>
                <c:pt idx="2">
                  <c:v>0.79463568224020453</c:v>
                </c:pt>
                <c:pt idx="3">
                  <c:v>0.58170736792793831</c:v>
                </c:pt>
              </c:numCache>
            </c:numRef>
          </c:xVal>
          <c:yVal>
            <c:numRef>
              <c:f>'Form 429 Blank'!$U$23:$U$26</c:f>
              <c:numCache>
                <c:formatCode>General</c:formatCode>
                <c:ptCount val="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600-4B32-8101-D57205C88456}"/>
            </c:ext>
          </c:extLst>
        </c:ser>
        <c:ser>
          <c:idx val="3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'Form 429 Blank'!$S$17:$S$29</c:f>
              <c:numCache>
                <c:formatCode>General</c:formatCode>
                <c:ptCount val="13"/>
                <c:pt idx="0">
                  <c:v>5.1087431744234335</c:v>
                </c:pt>
                <c:pt idx="1">
                  <c:v>4.2566996126039234</c:v>
                </c:pt>
                <c:pt idx="2">
                  <c:v>3.7621761023862978</c:v>
                </c:pt>
                <c:pt idx="3">
                  <c:v>3.116086507375345</c:v>
                </c:pt>
                <c:pt idx="4">
                  <c:v>2.754074108566122</c:v>
                </c:pt>
                <c:pt idx="5">
                  <c:v>2.0161002539629291</c:v>
                </c:pt>
                <c:pt idx="6">
                  <c:v>1.4716698795820382</c:v>
                </c:pt>
                <c:pt idx="7">
                  <c:v>1.0773254099250416</c:v>
                </c:pt>
                <c:pt idx="8">
                  <c:v>0.79463568224020453</c:v>
                </c:pt>
                <c:pt idx="9">
                  <c:v>0.58170736792793831</c:v>
                </c:pt>
                <c:pt idx="10">
                  <c:v>0.42583471830473674</c:v>
                </c:pt>
                <c:pt idx="11">
                  <c:v>0.31172925995349998</c:v>
                </c:pt>
                <c:pt idx="12">
                  <c:v>0</c:v>
                </c:pt>
              </c:numCache>
            </c:numRef>
          </c:xVal>
          <c:yVal>
            <c:numRef>
              <c:f>'Form 429 Blank'!$P$17:$P$28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600-4B32-8101-D57205C88456}"/>
            </c:ext>
          </c:extLst>
        </c:ser>
        <c:ser>
          <c:idx val="4"/>
          <c:order val="2"/>
          <c:spPr>
            <a:ln w="28575">
              <a:noFill/>
            </a:ln>
          </c:spPr>
          <c:marker>
            <c:symbol val="square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'Form 429 Blank'!$S$17:$S$28</c:f>
              <c:numCache>
                <c:formatCode>General</c:formatCode>
                <c:ptCount val="12"/>
                <c:pt idx="0">
                  <c:v>5.1087431744234335</c:v>
                </c:pt>
                <c:pt idx="1">
                  <c:v>4.2566996126039234</c:v>
                </c:pt>
                <c:pt idx="2">
                  <c:v>3.7621761023862978</c:v>
                </c:pt>
                <c:pt idx="3">
                  <c:v>3.116086507375345</c:v>
                </c:pt>
                <c:pt idx="4">
                  <c:v>2.754074108566122</c:v>
                </c:pt>
                <c:pt idx="5">
                  <c:v>2.0161002539629291</c:v>
                </c:pt>
                <c:pt idx="6">
                  <c:v>1.4716698795820382</c:v>
                </c:pt>
                <c:pt idx="7">
                  <c:v>1.0773254099250416</c:v>
                </c:pt>
                <c:pt idx="8">
                  <c:v>0.79463568224020453</c:v>
                </c:pt>
                <c:pt idx="9">
                  <c:v>0.58170736792793831</c:v>
                </c:pt>
                <c:pt idx="10">
                  <c:v>0.42583471830473674</c:v>
                </c:pt>
                <c:pt idx="11">
                  <c:v>0.31172925995349998</c:v>
                </c:pt>
              </c:numCache>
            </c:numRef>
          </c:xVal>
          <c:yVal>
            <c:numRef>
              <c:f>'Form 429 Blank'!$R$17:$R$28</c:f>
              <c:numCache>
                <c:formatCode>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1" formatCode="0.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00-4B32-8101-D57205C88456}"/>
            </c:ext>
          </c:extLst>
        </c:ser>
        <c:ser>
          <c:idx val="5"/>
          <c:order val="3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'Form 429 Blank'!$S$17:$S$28</c:f>
              <c:numCache>
                <c:formatCode>General</c:formatCode>
                <c:ptCount val="12"/>
                <c:pt idx="0">
                  <c:v>5.1087431744234335</c:v>
                </c:pt>
                <c:pt idx="1">
                  <c:v>4.2566996126039234</c:v>
                </c:pt>
                <c:pt idx="2">
                  <c:v>3.7621761023862978</c:v>
                </c:pt>
                <c:pt idx="3">
                  <c:v>3.116086507375345</c:v>
                </c:pt>
                <c:pt idx="4">
                  <c:v>2.754074108566122</c:v>
                </c:pt>
                <c:pt idx="5">
                  <c:v>2.0161002539629291</c:v>
                </c:pt>
                <c:pt idx="6">
                  <c:v>1.4716698795820382</c:v>
                </c:pt>
                <c:pt idx="7">
                  <c:v>1.0773254099250416</c:v>
                </c:pt>
                <c:pt idx="8">
                  <c:v>0.79463568224020453</c:v>
                </c:pt>
                <c:pt idx="9">
                  <c:v>0.58170736792793831</c:v>
                </c:pt>
                <c:pt idx="10">
                  <c:v>0.42583471830473674</c:v>
                </c:pt>
                <c:pt idx="11">
                  <c:v>0.31172925995349998</c:v>
                </c:pt>
              </c:numCache>
            </c:numRef>
          </c:xVal>
          <c:yVal>
            <c:numRef>
              <c:f>'Form 429 Blank'!$Q$17:$Q$28</c:f>
              <c:numCache>
                <c:formatCode>0</c:formatCode>
                <c:ptCount val="12"/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1" formatCode="0.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00-4B32-8101-D57205C88456}"/>
            </c:ext>
          </c:extLst>
        </c:ser>
        <c:ser>
          <c:idx val="0"/>
          <c:order val="4"/>
          <c:tx>
            <c:v>Maximum Density Line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'Form 429 Blank'!$AF$43:$AF$44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'Form 429 Blank'!$AE$43:$AE$44</c:f>
              <c:numCache>
                <c:formatCode>General</c:formatCode>
                <c:ptCount val="2"/>
                <c:pt idx="0" formatCode="0">
                  <c:v>100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600-4B32-8101-D57205C88456}"/>
            </c:ext>
          </c:extLst>
        </c:ser>
        <c:ser>
          <c:idx val="1"/>
          <c:order val="5"/>
          <c:tx>
            <c:v>#200</c:v>
          </c:tx>
          <c:spPr>
            <a:ln w="6350" cmpd="sng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201978406676052E-2"/>
                  <c:y val="2.0260103762892594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#200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00-4B32-8101-D57205C88456}"/>
                </c:ext>
              </c:extLst>
            </c:dLbl>
            <c:dLbl>
              <c:idx val="1"/>
              <c:layout>
                <c:manualLayout>
                  <c:x val="-3.0043090296921586E-2"/>
                  <c:y val="-2.2926534194958464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0.075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00-4B32-8101-D57205C88456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0.31169999999999998</c:v>
              </c:pt>
              <c:pt idx="1">
                <c:v>0.31169999999999998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4600-4B32-8101-D57205C88456}"/>
            </c:ext>
          </c:extLst>
        </c:ser>
        <c:ser>
          <c:idx val="6"/>
          <c:order val="6"/>
          <c:tx>
            <c:v>"1-1/2" Sieve"</c:v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759706022471089E-2"/>
                  <c:y val="2.4488827095207052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1-1/2"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00-4B32-8101-D57205C8845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800"/>
                      <a:t>37.5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00-4B32-8101-D57205C884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5.109</c:v>
              </c:pt>
              <c:pt idx="1">
                <c:v>5.109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A-4600-4B32-8101-D57205C88456}"/>
            </c:ext>
          </c:extLst>
        </c:ser>
        <c:ser>
          <c:idx val="7"/>
          <c:order val="7"/>
          <c:tx>
            <c:v>"#100"</c:v>
          </c:tx>
          <c:spPr>
            <a:ln w="6350" cmpd="sng">
              <a:solidFill>
                <a:schemeClr val="tx1"/>
              </a:solidFill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403927068723703E-2"/>
                  <c:y val="4.6926824146981627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#100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00-4B32-8101-D57205C88456}"/>
                </c:ext>
              </c:extLst>
            </c:dLbl>
            <c:dLbl>
              <c:idx val="1"/>
              <c:layout>
                <c:manualLayout>
                  <c:x val="-1.8636127707038024E-2"/>
                  <c:y val="-4.6926614173228347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0.15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00-4B32-8101-D57205C88456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0.42580000000000001</c:v>
              </c:pt>
              <c:pt idx="1">
                <c:v>0.42580000000000001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D-4600-4B32-8101-D57205C88456}"/>
            </c:ext>
          </c:extLst>
        </c:ser>
        <c:ser>
          <c:idx val="9"/>
          <c:order val="8"/>
          <c:tx>
            <c:v>"#30"</c:v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283475610429481E-2"/>
                  <c:y val="4.4260157480314963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#30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600-4B32-8101-D57205C88456}"/>
                </c:ext>
              </c:extLst>
            </c:dLbl>
            <c:dLbl>
              <c:idx val="1"/>
              <c:layout>
                <c:manualLayout>
                  <c:x val="-2.6202692405384812E-2"/>
                  <c:y val="-4.473322834645669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0.60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600-4B32-8101-D57205C884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0.79459999999999997</c:v>
              </c:pt>
              <c:pt idx="1">
                <c:v>0.79459999999999997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10-4600-4B32-8101-D57205C88456}"/>
            </c:ext>
          </c:extLst>
        </c:ser>
        <c:ser>
          <c:idx val="10"/>
          <c:order val="9"/>
          <c:tx>
            <c:v>"#16"</c:v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/>
                      <a:t>#16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00-4B32-8101-D57205C8845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800"/>
                      <a:t>1.18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600-4B32-8101-D57205C884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1.077</c:v>
              </c:pt>
              <c:pt idx="1">
                <c:v>1.077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13-4600-4B32-8101-D57205C88456}"/>
            </c:ext>
          </c:extLst>
        </c:ser>
        <c:ser>
          <c:idx val="11"/>
          <c:order val="10"/>
          <c:tx>
            <c:v>"#8"</c:v>
          </c:tx>
          <c:spPr>
            <a:ln w="6350"/>
          </c:spPr>
          <c:marker>
            <c:symbol val="none"/>
          </c:marker>
          <c:dPt>
            <c:idx val="1"/>
            <c:bubble3D val="0"/>
            <c:spPr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4600-4B32-8101-D57205C8845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/>
                      <a:t>#8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600-4B32-8101-D57205C8845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800"/>
                      <a:t>2.36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600-4B32-8101-D57205C884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1.472</c:v>
              </c:pt>
              <c:pt idx="1">
                <c:v>1.472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17-4600-4B32-8101-D57205C88456}"/>
            </c:ext>
          </c:extLst>
        </c:ser>
        <c:ser>
          <c:idx val="12"/>
          <c:order val="11"/>
          <c:tx>
            <c:v>"#4"</c:v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/>
                      <a:t>#4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600-4B32-8101-D57205C8845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800"/>
                      <a:t>4.75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600-4B32-8101-D57205C884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2.016</c:v>
              </c:pt>
              <c:pt idx="1">
                <c:v>2.016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1A-4600-4B32-8101-D57205C88456}"/>
            </c:ext>
          </c:extLst>
        </c:ser>
        <c:ser>
          <c:idx val="13"/>
          <c:order val="12"/>
          <c:tx>
            <c:v>"3/8""</c:v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/>
                      <a:t>3/8"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600-4B32-8101-D57205C8845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800"/>
                      <a:t>9.5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600-4B32-8101-D57205C884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2.754</c:v>
              </c:pt>
              <c:pt idx="1">
                <c:v>2.754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1D-4600-4B32-8101-D57205C88456}"/>
            </c:ext>
          </c:extLst>
        </c:ser>
        <c:ser>
          <c:idx val="14"/>
          <c:order val="13"/>
          <c:tx>
            <c:v>"1/2""</c:v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/>
                      <a:t>1/2"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600-4B32-8101-D57205C8845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800"/>
                      <a:t>12.5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600-4B32-8101-D57205C884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3.1160000000000001</c:v>
              </c:pt>
              <c:pt idx="1">
                <c:v>3.1160000000000001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20-4600-4B32-8101-D57205C88456}"/>
            </c:ext>
          </c:extLst>
        </c:ser>
        <c:ser>
          <c:idx val="15"/>
          <c:order val="14"/>
          <c:tx>
            <c:v>"3/4""</c:v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/>
                      <a:t>3.4"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600-4B32-8101-D57205C8845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800"/>
                      <a:t>19.0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600-4B32-8101-D57205C884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3.762</c:v>
              </c:pt>
              <c:pt idx="1">
                <c:v>3.762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23-4600-4B32-8101-D57205C88456}"/>
            </c:ext>
          </c:extLst>
        </c:ser>
        <c:ser>
          <c:idx val="16"/>
          <c:order val="15"/>
          <c:tx>
            <c:v>"1""</c:v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/>
                      <a:t>1"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600-4B32-8101-D57205C8845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800"/>
                      <a:t>25.0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600-4B32-8101-D57205C884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4.2569999999999997</c:v>
              </c:pt>
              <c:pt idx="1">
                <c:v>4.2569999999999997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26-4600-4B32-8101-D57205C88456}"/>
            </c:ext>
          </c:extLst>
        </c:ser>
        <c:ser>
          <c:idx val="8"/>
          <c:order val="16"/>
          <c:tx>
            <c:v>"#50"</c:v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283365175426002E-2"/>
                  <c:y val="2.2926824146981627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#50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600-4B32-8101-D57205C88456}"/>
                </c:ext>
              </c:extLst>
            </c:dLbl>
            <c:dLbl>
              <c:idx val="1"/>
              <c:layout>
                <c:manualLayout>
                  <c:x val="-2.2843701339576594E-2"/>
                  <c:y val="-2.2926614173228346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0.30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600-4B32-8101-D57205C884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0.58169999999999999</c:v>
              </c:pt>
              <c:pt idx="1">
                <c:v>0.58169999999999999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29-4600-4B32-8101-D57205C88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977504"/>
        <c:axId val="278977896"/>
      </c:scatterChart>
      <c:valAx>
        <c:axId val="278977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8977896"/>
        <c:crosses val="autoZero"/>
        <c:crossBetween val="midCat"/>
      </c:valAx>
      <c:valAx>
        <c:axId val="27897789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solidFill>
                <a:srgbClr val="000000">
                  <a:alpha val="3700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Passing Each Sieve Size</a:t>
                </a:r>
              </a:p>
            </c:rich>
          </c:tx>
          <c:layout>
            <c:manualLayout>
              <c:xMode val="edge"/>
              <c:yMode val="edge"/>
              <c:x val="6.0753341433778859E-3"/>
              <c:y val="0.214132762312633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977504"/>
        <c:crosses val="autoZero"/>
        <c:crossBetween val="midCat"/>
        <c:majorUnit val="20"/>
        <c:minorUnit val="1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VMA vs. A.C. Content</a:t>
            </a:r>
          </a:p>
        </c:rich>
      </c:tx>
      <c:layout>
        <c:manualLayout>
          <c:xMode val="edge"/>
          <c:yMode val="edge"/>
          <c:x val="0.38692098092643051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80002395966064"/>
          <c:y val="0.12114483348277499"/>
          <c:w val="0.79468683634462689"/>
          <c:h val="0.7395498008260940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9050"/>
            </c:spPr>
            <c:trendlineType val="poly"/>
            <c:order val="3"/>
            <c:dispRSqr val="0"/>
            <c:dispEq val="0"/>
          </c:trendline>
          <c:xVal>
            <c:numRef>
              <c:f>'Form 429 Example'!$H$50:$K$50</c:f>
              <c:numCache>
                <c:formatCode>0.00</c:formatCode>
                <c:ptCount val="4"/>
                <c:pt idx="0">
                  <c:v>4.5999999999999996</c:v>
                </c:pt>
                <c:pt idx="1">
                  <c:v>5.0999999999999996</c:v>
                </c:pt>
                <c:pt idx="2">
                  <c:v>5.6</c:v>
                </c:pt>
                <c:pt idx="3">
                  <c:v>6.1</c:v>
                </c:pt>
              </c:numCache>
            </c:numRef>
          </c:xVal>
          <c:yVal>
            <c:numRef>
              <c:f>'Form 429 Example'!$H$58:$K$58</c:f>
              <c:numCache>
                <c:formatCode>0.0</c:formatCode>
                <c:ptCount val="4"/>
                <c:pt idx="0">
                  <c:v>15.761357362042091</c:v>
                </c:pt>
                <c:pt idx="1">
                  <c:v>15.501041086318949</c:v>
                </c:pt>
                <c:pt idx="2">
                  <c:v>15.45755643571519</c:v>
                </c:pt>
                <c:pt idx="3">
                  <c:v>15.627575503296868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A1-497A-85DE-4C5919026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670200"/>
        <c:axId val="274670592"/>
      </c:scatterChart>
      <c:valAx>
        <c:axId val="274670200"/>
        <c:scaling>
          <c:orientation val="minMax"/>
          <c:min val="4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A.C. Content</a:t>
                </a:r>
              </a:p>
            </c:rich>
          </c:tx>
          <c:layout>
            <c:manualLayout>
              <c:xMode val="edge"/>
              <c:yMode val="edge"/>
              <c:x val="0.46279795323960987"/>
              <c:y val="0.930285151867040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670592"/>
        <c:crosses val="autoZero"/>
        <c:crossBetween val="midCat"/>
        <c:majorUnit val="1"/>
        <c:minorUnit val="0.1"/>
      </c:valAx>
      <c:valAx>
        <c:axId val="274670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VMA (percent)</a:t>
                </a:r>
              </a:p>
            </c:rich>
          </c:tx>
          <c:layout>
            <c:manualLayout>
              <c:xMode val="edge"/>
              <c:yMode val="edge"/>
              <c:x val="2.1798365122615803E-2"/>
              <c:y val="0.3333344269466316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670200"/>
        <c:crosses val="autoZero"/>
        <c:crossBetween val="midCat"/>
        <c:maj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Max Sp. G. vs. A.C. Content</a:t>
            </a:r>
          </a:p>
        </c:rich>
      </c:tx>
      <c:layout>
        <c:manualLayout>
          <c:xMode val="edge"/>
          <c:yMode val="edge"/>
          <c:x val="0.35607122779502492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47831847452869"/>
          <c:y val="0.13393480305222019"/>
          <c:w val="0.77365177263533647"/>
          <c:h val="0.7275356604820421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9050"/>
            </c:spPr>
            <c:trendlineType val="log"/>
            <c:dispRSqr val="0"/>
            <c:dispEq val="0"/>
          </c:trendline>
          <c:xVal>
            <c:numRef>
              <c:f>'Form 429 Example'!$H$50:$K$50</c:f>
              <c:numCache>
                <c:formatCode>0.00</c:formatCode>
                <c:ptCount val="4"/>
                <c:pt idx="0">
                  <c:v>4.5999999999999996</c:v>
                </c:pt>
                <c:pt idx="1">
                  <c:v>5.0999999999999996</c:v>
                </c:pt>
                <c:pt idx="2">
                  <c:v>5.6</c:v>
                </c:pt>
                <c:pt idx="3">
                  <c:v>6.1</c:v>
                </c:pt>
              </c:numCache>
            </c:numRef>
          </c:xVal>
          <c:yVal>
            <c:numRef>
              <c:f>'Form 429 Example'!$H$51:$K$51</c:f>
              <c:numCache>
                <c:formatCode>0.000</c:formatCode>
                <c:ptCount val="4"/>
                <c:pt idx="0">
                  <c:v>2.5329978503150188</c:v>
                </c:pt>
                <c:pt idx="1">
                  <c:v>2.5138039304894209</c:v>
                </c:pt>
                <c:pt idx="2">
                  <c:v>2.49489870884284</c:v>
                </c:pt>
                <c:pt idx="3">
                  <c:v>2.4762757204761492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6A-400F-9694-6B6C78256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671376"/>
        <c:axId val="274671768"/>
      </c:scatterChart>
      <c:valAx>
        <c:axId val="274671376"/>
        <c:scaling>
          <c:orientation val="minMax"/>
          <c:max val="8"/>
          <c:min val="4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A.C. Content</a:t>
                </a:r>
              </a:p>
            </c:rich>
          </c:tx>
          <c:layout>
            <c:manualLayout>
              <c:xMode val="edge"/>
              <c:yMode val="edge"/>
              <c:x val="0.49210217011547308"/>
              <c:y val="0.9262512810453200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671768"/>
        <c:crosses val="autoZero"/>
        <c:crossBetween val="midCat"/>
        <c:majorUnit val="1"/>
        <c:minorUnit val="0.1"/>
      </c:valAx>
      <c:valAx>
        <c:axId val="274671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Maximum Specific Gravity</a:t>
                </a:r>
              </a:p>
            </c:rich>
          </c:tx>
          <c:layout>
            <c:manualLayout>
              <c:xMode val="edge"/>
              <c:yMode val="edge"/>
              <c:x val="1.7735334242837655E-2"/>
              <c:y val="0.36805664916885389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46713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VFA vs. A.C. Content</a:t>
            </a:r>
          </a:p>
        </c:rich>
      </c:tx>
      <c:layout>
        <c:manualLayout>
          <c:xMode val="edge"/>
          <c:yMode val="edge"/>
          <c:x val="0.38881338332026366"/>
          <c:y val="3.7931034482758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27889628368142"/>
          <c:y val="0.1302637057256282"/>
          <c:w val="0.81923802583417782"/>
          <c:h val="0.71526031382300126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9050"/>
            </c:spPr>
            <c:trendlineType val="poly"/>
            <c:order val="3"/>
            <c:dispRSqr val="0"/>
            <c:dispEq val="0"/>
          </c:trendline>
          <c:xVal>
            <c:numRef>
              <c:f>'Form 429 Example'!$H$50:$K$50</c:f>
              <c:numCache>
                <c:formatCode>0.00</c:formatCode>
                <c:ptCount val="4"/>
                <c:pt idx="0">
                  <c:v>4.5999999999999996</c:v>
                </c:pt>
                <c:pt idx="1">
                  <c:v>5.0999999999999996</c:v>
                </c:pt>
                <c:pt idx="2">
                  <c:v>5.6</c:v>
                </c:pt>
                <c:pt idx="3">
                  <c:v>6.1</c:v>
                </c:pt>
              </c:numCache>
            </c:numRef>
          </c:xVal>
          <c:yVal>
            <c:numRef>
              <c:f>'Form 429 Example'!$H$59:$K$59</c:f>
              <c:numCache>
                <c:formatCode>0</c:formatCode>
                <c:ptCount val="4"/>
                <c:pt idx="0">
                  <c:v>63.681063214077355</c:v>
                </c:pt>
                <c:pt idx="1">
                  <c:v>72.847518079797297</c:v>
                </c:pt>
                <c:pt idx="2">
                  <c:v>81.09720270169116</c:v>
                </c:pt>
                <c:pt idx="3">
                  <c:v>88.04188890693797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54-4D95-A070-B1F4815C0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504528"/>
        <c:axId val="276504920"/>
      </c:scatterChart>
      <c:valAx>
        <c:axId val="276504528"/>
        <c:scaling>
          <c:orientation val="minMax"/>
          <c:max val="8"/>
          <c:min val="4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A.C. Content</a:t>
                </a:r>
              </a:p>
            </c:rich>
          </c:tx>
          <c:layout>
            <c:manualLayout>
              <c:xMode val="edge"/>
              <c:yMode val="edge"/>
              <c:x val="0.48665667195424539"/>
              <c:y val="0.924618447461869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04920"/>
        <c:crossesAt val="40"/>
        <c:crossBetween val="midCat"/>
        <c:majorUnit val="1"/>
        <c:minorUnit val="0.1"/>
      </c:valAx>
      <c:valAx>
        <c:axId val="276504920"/>
        <c:scaling>
          <c:orientation val="minMax"/>
          <c:max val="9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VFA (percent)</a:t>
                </a:r>
              </a:p>
            </c:rich>
          </c:tx>
          <c:layout>
            <c:manualLayout>
              <c:xMode val="edge"/>
              <c:yMode val="edge"/>
              <c:x val="3.0013642564802184E-2"/>
              <c:y val="0.313793103448275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04528"/>
        <c:crosses val="autoZero"/>
        <c:crossBetween val="midCat"/>
        <c:majorUnit val="10"/>
        <c:min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Stability vs. A.C. Content</a:t>
            </a:r>
          </a:p>
        </c:rich>
      </c:tx>
      <c:layout>
        <c:manualLayout>
          <c:xMode val="edge"/>
          <c:yMode val="edge"/>
          <c:x val="0.36885288929047799"/>
          <c:y val="3.80622837370242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97998586090051"/>
          <c:y val="0.14054029299749995"/>
          <c:w val="0.82032032373662267"/>
          <c:h val="0.72329345367052811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9050"/>
            </c:spPr>
            <c:trendlineType val="poly"/>
            <c:order val="2"/>
            <c:dispRSqr val="0"/>
            <c:dispEq val="0"/>
          </c:trendline>
          <c:xVal>
            <c:numRef>
              <c:f>'Form 429 Example'!$H$50:$K$50</c:f>
              <c:numCache>
                <c:formatCode>0.00</c:formatCode>
                <c:ptCount val="4"/>
                <c:pt idx="0">
                  <c:v>4.5999999999999996</c:v>
                </c:pt>
                <c:pt idx="1">
                  <c:v>5.0999999999999996</c:v>
                </c:pt>
                <c:pt idx="2">
                  <c:v>5.6</c:v>
                </c:pt>
                <c:pt idx="3">
                  <c:v>6.1</c:v>
                </c:pt>
              </c:numCache>
            </c:numRef>
          </c:xVal>
          <c:yVal>
            <c:numRef>
              <c:f>'Form 429 Example'!$H$63:$K$63</c:f>
              <c:numCache>
                <c:formatCode>General</c:formatCode>
                <c:ptCount val="4"/>
                <c:pt idx="0">
                  <c:v>48</c:v>
                </c:pt>
                <c:pt idx="1">
                  <c:v>48</c:v>
                </c:pt>
                <c:pt idx="2">
                  <c:v>47</c:v>
                </c:pt>
                <c:pt idx="3">
                  <c:v>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5C-4CD7-A39C-DF2DCBDDC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506096"/>
        <c:axId val="276506488"/>
      </c:scatterChart>
      <c:valAx>
        <c:axId val="276506096"/>
        <c:scaling>
          <c:orientation val="minMax"/>
          <c:min val="4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A.C. Content</a:t>
                </a:r>
              </a:p>
            </c:rich>
          </c:tx>
          <c:layout>
            <c:manualLayout>
              <c:xMode val="edge"/>
              <c:yMode val="edge"/>
              <c:x val="0.45277988542537384"/>
              <c:y val="0.921087355865839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06488"/>
        <c:crosses val="autoZero"/>
        <c:crossBetween val="midCat"/>
        <c:majorUnit val="1"/>
        <c:minorUnit val="0.1"/>
      </c:valAx>
      <c:valAx>
        <c:axId val="276506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Stability</a:t>
                </a:r>
              </a:p>
            </c:rich>
          </c:tx>
          <c:layout>
            <c:manualLayout>
              <c:xMode val="edge"/>
              <c:yMode val="edge"/>
              <c:x val="2.185792349726776E-2"/>
              <c:y val="0.397924601985305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06096"/>
        <c:crosses val="autoZero"/>
        <c:crossBetween val="midCat"/>
        <c:majorUnit val="5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Aggregate Gradation</a:t>
            </a:r>
          </a:p>
        </c:rich>
      </c:tx>
      <c:layout>
        <c:manualLayout>
          <c:xMode val="edge"/>
          <c:yMode val="edge"/>
          <c:x val="0.3390039003326285"/>
          <c:y val="2.99785867237687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08574173670086"/>
          <c:y val="0.16159160104986878"/>
          <c:w val="0.85540755489607556"/>
          <c:h val="0.76245102362204731"/>
        </c:manualLayout>
      </c:layout>
      <c:scatterChart>
        <c:scatterStyle val="smoothMarker"/>
        <c:varyColors val="0"/>
        <c:ser>
          <c:idx val="2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'Form 429 Example'!$S$23:$S$26</c:f>
              <c:numCache>
                <c:formatCode>General</c:formatCode>
                <c:ptCount val="4"/>
                <c:pt idx="0">
                  <c:v>1.4716698795820382</c:v>
                </c:pt>
                <c:pt idx="1">
                  <c:v>1.0773254099250416</c:v>
                </c:pt>
                <c:pt idx="2">
                  <c:v>0.79463568224020453</c:v>
                </c:pt>
                <c:pt idx="3">
                  <c:v>0.58170736792793831</c:v>
                </c:pt>
              </c:numCache>
            </c:numRef>
          </c:xVal>
          <c:yVal>
            <c:numRef>
              <c:f>'Form 429 Example'!$U$23:$U$26</c:f>
              <c:numCache>
                <c:formatCode>General</c:formatCode>
                <c:ptCount val="4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CF9-4F25-8B70-F1F89A4D9A80}"/>
            </c:ext>
          </c:extLst>
        </c:ser>
        <c:ser>
          <c:idx val="3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'Form 429 Example'!$S$17:$S$29</c:f>
              <c:numCache>
                <c:formatCode>General</c:formatCode>
                <c:ptCount val="13"/>
                <c:pt idx="0">
                  <c:v>5.1087431744234335</c:v>
                </c:pt>
                <c:pt idx="1">
                  <c:v>4.2566996126039234</c:v>
                </c:pt>
                <c:pt idx="2">
                  <c:v>3.7621761023862978</c:v>
                </c:pt>
                <c:pt idx="3">
                  <c:v>3.116086507375345</c:v>
                </c:pt>
                <c:pt idx="4">
                  <c:v>2.754074108566122</c:v>
                </c:pt>
                <c:pt idx="5">
                  <c:v>2.0161002539629291</c:v>
                </c:pt>
                <c:pt idx="6">
                  <c:v>1.4716698795820382</c:v>
                </c:pt>
                <c:pt idx="7">
                  <c:v>1.0773254099250416</c:v>
                </c:pt>
                <c:pt idx="8">
                  <c:v>0.79463568224020453</c:v>
                </c:pt>
                <c:pt idx="9">
                  <c:v>0.58170736792793831</c:v>
                </c:pt>
                <c:pt idx="10">
                  <c:v>0.42583471830473674</c:v>
                </c:pt>
                <c:pt idx="11">
                  <c:v>0.31172925995349998</c:v>
                </c:pt>
                <c:pt idx="12">
                  <c:v>0</c:v>
                </c:pt>
              </c:numCache>
            </c:numRef>
          </c:xVal>
          <c:yVal>
            <c:numRef>
              <c:f>'Form 429 Example'!$P$17:$P$28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95.52</c:v>
                </c:pt>
                <c:pt idx="4">
                  <c:v>84.34</c:v>
                </c:pt>
                <c:pt idx="5">
                  <c:v>64.75</c:v>
                </c:pt>
                <c:pt idx="6">
                  <c:v>50.989999999999995</c:v>
                </c:pt>
                <c:pt idx="7">
                  <c:v>37.319999999999993</c:v>
                </c:pt>
                <c:pt idx="8">
                  <c:v>26.439999999999998</c:v>
                </c:pt>
                <c:pt idx="9">
                  <c:v>17.989999999999998</c:v>
                </c:pt>
                <c:pt idx="10">
                  <c:v>11.120000000000001</c:v>
                </c:pt>
                <c:pt idx="11" formatCode="0.0">
                  <c:v>6.7249999999999996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CF9-4F25-8B70-F1F89A4D9A80}"/>
            </c:ext>
          </c:extLst>
        </c:ser>
        <c:ser>
          <c:idx val="4"/>
          <c:order val="2"/>
          <c:spPr>
            <a:ln w="28575">
              <a:noFill/>
            </a:ln>
          </c:spPr>
          <c:marker>
            <c:symbol val="square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'Form 429 Example'!$S$17:$S$28</c:f>
              <c:numCache>
                <c:formatCode>General</c:formatCode>
                <c:ptCount val="12"/>
                <c:pt idx="0">
                  <c:v>5.1087431744234335</c:v>
                </c:pt>
                <c:pt idx="1">
                  <c:v>4.2566996126039234</c:v>
                </c:pt>
                <c:pt idx="2">
                  <c:v>3.7621761023862978</c:v>
                </c:pt>
                <c:pt idx="3">
                  <c:v>3.116086507375345</c:v>
                </c:pt>
                <c:pt idx="4">
                  <c:v>2.754074108566122</c:v>
                </c:pt>
                <c:pt idx="5">
                  <c:v>2.0161002539629291</c:v>
                </c:pt>
                <c:pt idx="6">
                  <c:v>1.4716698795820382</c:v>
                </c:pt>
                <c:pt idx="7">
                  <c:v>1.0773254099250416</c:v>
                </c:pt>
                <c:pt idx="8">
                  <c:v>0.79463568224020453</c:v>
                </c:pt>
                <c:pt idx="9">
                  <c:v>0.58170736792793831</c:v>
                </c:pt>
                <c:pt idx="10">
                  <c:v>0.42583471830473674</c:v>
                </c:pt>
                <c:pt idx="11">
                  <c:v>0.31172925995349998</c:v>
                </c:pt>
              </c:numCache>
            </c:numRef>
          </c:xVal>
          <c:yVal>
            <c:numRef>
              <c:f>'Form 429 Example'!$R$17:$R$28</c:f>
              <c:numCache>
                <c:formatCode>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100</c:v>
                </c:pt>
                <c:pt idx="4">
                  <c:v>100</c:v>
                </c:pt>
                <c:pt idx="5">
                  <c:v>#N/A</c:v>
                </c:pt>
                <c:pt idx="6">
                  <c:v>58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1" formatCode="0.0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F9-4F25-8B70-F1F89A4D9A80}"/>
            </c:ext>
          </c:extLst>
        </c:ser>
        <c:ser>
          <c:idx val="5"/>
          <c:order val="3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'Form 429 Example'!$S$17:$S$28</c:f>
              <c:numCache>
                <c:formatCode>General</c:formatCode>
                <c:ptCount val="12"/>
                <c:pt idx="0">
                  <c:v>5.1087431744234335</c:v>
                </c:pt>
                <c:pt idx="1">
                  <c:v>4.2566996126039234</c:v>
                </c:pt>
                <c:pt idx="2">
                  <c:v>3.7621761023862978</c:v>
                </c:pt>
                <c:pt idx="3">
                  <c:v>3.116086507375345</c:v>
                </c:pt>
                <c:pt idx="4">
                  <c:v>2.754074108566122</c:v>
                </c:pt>
                <c:pt idx="5">
                  <c:v>2.0161002539629291</c:v>
                </c:pt>
                <c:pt idx="6">
                  <c:v>1.4716698795820382</c:v>
                </c:pt>
                <c:pt idx="7">
                  <c:v>1.0773254099250416</c:v>
                </c:pt>
                <c:pt idx="8">
                  <c:v>0.79463568224020453</c:v>
                </c:pt>
                <c:pt idx="9">
                  <c:v>0.58170736792793831</c:v>
                </c:pt>
                <c:pt idx="10">
                  <c:v>0.42583471830473674</c:v>
                </c:pt>
                <c:pt idx="11">
                  <c:v>0.31172925995349998</c:v>
                </c:pt>
              </c:numCache>
            </c:numRef>
          </c:xVal>
          <c:yVal>
            <c:numRef>
              <c:f>'Form 429 Example'!$Q$17:$Q$28</c:f>
              <c:numCache>
                <c:formatCode>0</c:formatCode>
                <c:ptCount val="12"/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90</c:v>
                </c:pt>
                <c:pt idx="5">
                  <c:v>#N/A</c:v>
                </c:pt>
                <c:pt idx="6">
                  <c:v>28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1" formatCode="0.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F9-4F25-8B70-F1F89A4D9A80}"/>
            </c:ext>
          </c:extLst>
        </c:ser>
        <c:ser>
          <c:idx val="0"/>
          <c:order val="4"/>
          <c:tx>
            <c:v>Maximum Density Line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'Form 429 Example'!$AF$43:$AF$44</c:f>
              <c:numCache>
                <c:formatCode>General</c:formatCode>
                <c:ptCount val="2"/>
                <c:pt idx="0">
                  <c:v>3.7621761023862978</c:v>
                </c:pt>
                <c:pt idx="1">
                  <c:v>0</c:v>
                </c:pt>
              </c:numCache>
            </c:numRef>
          </c:xVal>
          <c:yVal>
            <c:numRef>
              <c:f>'Form 429 Example'!$AE$43:$AE$44</c:f>
              <c:numCache>
                <c:formatCode>General</c:formatCode>
                <c:ptCount val="2"/>
                <c:pt idx="0" formatCode="0">
                  <c:v>100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CF9-4F25-8B70-F1F89A4D9A80}"/>
            </c:ext>
          </c:extLst>
        </c:ser>
        <c:ser>
          <c:idx val="1"/>
          <c:order val="5"/>
          <c:tx>
            <c:v>#200</c:v>
          </c:tx>
          <c:spPr>
            <a:ln w="6350" cmpd="sng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201978406676052E-2"/>
                  <c:y val="2.0260103762892594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#200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F9-4F25-8B70-F1F89A4D9A80}"/>
                </c:ext>
              </c:extLst>
            </c:dLbl>
            <c:dLbl>
              <c:idx val="1"/>
              <c:layout>
                <c:manualLayout>
                  <c:x val="-3.0043090296921586E-2"/>
                  <c:y val="-2.2926534194958464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0.075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F9-4F25-8B70-F1F89A4D9A8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0.31169999999999998</c:v>
              </c:pt>
              <c:pt idx="1">
                <c:v>0.31169999999999998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3CF9-4F25-8B70-F1F89A4D9A80}"/>
            </c:ext>
          </c:extLst>
        </c:ser>
        <c:ser>
          <c:idx val="6"/>
          <c:order val="6"/>
          <c:tx>
            <c:v>"1-1/2" Sieve"</c:v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759706022471089E-2"/>
                  <c:y val="2.4488827095207052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1-1/2"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F9-4F25-8B70-F1F89A4D9A8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800"/>
                      <a:t>37.5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F9-4F25-8B70-F1F89A4D9A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5.109</c:v>
              </c:pt>
              <c:pt idx="1">
                <c:v>5.109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A-3CF9-4F25-8B70-F1F89A4D9A80}"/>
            </c:ext>
          </c:extLst>
        </c:ser>
        <c:ser>
          <c:idx val="7"/>
          <c:order val="7"/>
          <c:tx>
            <c:v>"#100"</c:v>
          </c:tx>
          <c:spPr>
            <a:ln w="6350" cmpd="sng">
              <a:solidFill>
                <a:schemeClr val="tx1"/>
              </a:solidFill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403927068723703E-2"/>
                  <c:y val="4.6926824146981627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#100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F9-4F25-8B70-F1F89A4D9A80}"/>
                </c:ext>
              </c:extLst>
            </c:dLbl>
            <c:dLbl>
              <c:idx val="1"/>
              <c:layout>
                <c:manualLayout>
                  <c:x val="-1.8636127707038024E-2"/>
                  <c:y val="-4.6926614173228347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0.15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CF9-4F25-8B70-F1F89A4D9A80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0.42580000000000001</c:v>
              </c:pt>
              <c:pt idx="1">
                <c:v>0.42580000000000001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D-3CF9-4F25-8B70-F1F89A4D9A80}"/>
            </c:ext>
          </c:extLst>
        </c:ser>
        <c:ser>
          <c:idx val="9"/>
          <c:order val="8"/>
          <c:tx>
            <c:v>"#30"</c:v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283475610429481E-2"/>
                  <c:y val="4.4260157480314963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#30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CF9-4F25-8B70-F1F89A4D9A80}"/>
                </c:ext>
              </c:extLst>
            </c:dLbl>
            <c:dLbl>
              <c:idx val="1"/>
              <c:layout>
                <c:manualLayout>
                  <c:x val="-2.6202692405384812E-2"/>
                  <c:y val="-4.473322834645669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0.60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CF9-4F25-8B70-F1F89A4D9A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0.79459999999999997</c:v>
              </c:pt>
              <c:pt idx="1">
                <c:v>0.79459999999999997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10-3CF9-4F25-8B70-F1F89A4D9A80}"/>
            </c:ext>
          </c:extLst>
        </c:ser>
        <c:ser>
          <c:idx val="10"/>
          <c:order val="9"/>
          <c:tx>
            <c:v>"#16"</c:v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/>
                      <a:t>#16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CF9-4F25-8B70-F1F89A4D9A8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800"/>
                      <a:t>1.18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CF9-4F25-8B70-F1F89A4D9A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1.077</c:v>
              </c:pt>
              <c:pt idx="1">
                <c:v>1.077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13-3CF9-4F25-8B70-F1F89A4D9A80}"/>
            </c:ext>
          </c:extLst>
        </c:ser>
        <c:ser>
          <c:idx val="11"/>
          <c:order val="10"/>
          <c:tx>
            <c:v>"#8"</c:v>
          </c:tx>
          <c:spPr>
            <a:ln w="6350"/>
          </c:spPr>
          <c:marker>
            <c:symbol val="none"/>
          </c:marker>
          <c:dPt>
            <c:idx val="1"/>
            <c:bubble3D val="0"/>
            <c:spPr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CF9-4F25-8B70-F1F89A4D9A8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/>
                      <a:t>#8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CF9-4F25-8B70-F1F89A4D9A8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800"/>
                      <a:t>2.36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CF9-4F25-8B70-F1F89A4D9A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1.472</c:v>
              </c:pt>
              <c:pt idx="1">
                <c:v>1.472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17-3CF9-4F25-8B70-F1F89A4D9A80}"/>
            </c:ext>
          </c:extLst>
        </c:ser>
        <c:ser>
          <c:idx val="12"/>
          <c:order val="11"/>
          <c:tx>
            <c:v>"#4"</c:v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/>
                      <a:t>#4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CF9-4F25-8B70-F1F89A4D9A8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800"/>
                      <a:t>4.75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CF9-4F25-8B70-F1F89A4D9A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2.016</c:v>
              </c:pt>
              <c:pt idx="1">
                <c:v>2.016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1A-3CF9-4F25-8B70-F1F89A4D9A80}"/>
            </c:ext>
          </c:extLst>
        </c:ser>
        <c:ser>
          <c:idx val="13"/>
          <c:order val="12"/>
          <c:tx>
            <c:v>"3/8""</c:v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/>
                      <a:t>3/8"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CF9-4F25-8B70-F1F89A4D9A8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800"/>
                      <a:t>9.5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CF9-4F25-8B70-F1F89A4D9A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2.754</c:v>
              </c:pt>
              <c:pt idx="1">
                <c:v>2.754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1D-3CF9-4F25-8B70-F1F89A4D9A80}"/>
            </c:ext>
          </c:extLst>
        </c:ser>
        <c:ser>
          <c:idx val="14"/>
          <c:order val="13"/>
          <c:tx>
            <c:v>"1/2""</c:v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/>
                      <a:t>1/2"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CF9-4F25-8B70-F1F89A4D9A8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800"/>
                      <a:t>12.5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CF9-4F25-8B70-F1F89A4D9A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3.1160000000000001</c:v>
              </c:pt>
              <c:pt idx="1">
                <c:v>3.1160000000000001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20-3CF9-4F25-8B70-F1F89A4D9A80}"/>
            </c:ext>
          </c:extLst>
        </c:ser>
        <c:ser>
          <c:idx val="15"/>
          <c:order val="14"/>
          <c:tx>
            <c:v>"3/4""</c:v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/>
                      <a:t>3.4"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CF9-4F25-8B70-F1F89A4D9A8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800"/>
                      <a:t>19.0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CF9-4F25-8B70-F1F89A4D9A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3.762</c:v>
              </c:pt>
              <c:pt idx="1">
                <c:v>3.762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23-3CF9-4F25-8B70-F1F89A4D9A80}"/>
            </c:ext>
          </c:extLst>
        </c:ser>
        <c:ser>
          <c:idx val="16"/>
          <c:order val="15"/>
          <c:tx>
            <c:v>"1""</c:v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/>
                      <a:t>1"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CF9-4F25-8B70-F1F89A4D9A8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800"/>
                      <a:t>25.0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CF9-4F25-8B70-F1F89A4D9A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4.2569999999999997</c:v>
              </c:pt>
              <c:pt idx="1">
                <c:v>4.2569999999999997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26-3CF9-4F25-8B70-F1F89A4D9A80}"/>
            </c:ext>
          </c:extLst>
        </c:ser>
        <c:ser>
          <c:idx val="8"/>
          <c:order val="16"/>
          <c:tx>
            <c:v>"#50"</c:v>
          </c:tx>
          <c:spPr>
            <a:ln w="6350"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283365175426002E-2"/>
                  <c:y val="2.2926824146981627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#50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CF9-4F25-8B70-F1F89A4D9A80}"/>
                </c:ext>
              </c:extLst>
            </c:dLbl>
            <c:dLbl>
              <c:idx val="1"/>
              <c:layout>
                <c:manualLayout>
                  <c:x val="-2.2843701339576594E-2"/>
                  <c:y val="-2.2926614173228346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0.30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3CF9-4F25-8B70-F1F89A4D9A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2"/>
              <c:pt idx="0">
                <c:v>0.58169999999999999</c:v>
              </c:pt>
              <c:pt idx="1">
                <c:v>0.58169999999999999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29-3CF9-4F25-8B70-F1F89A4D9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507272"/>
        <c:axId val="276507664"/>
      </c:scatterChart>
      <c:valAx>
        <c:axId val="276507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6507664"/>
        <c:crosses val="autoZero"/>
        <c:crossBetween val="midCat"/>
      </c:valAx>
      <c:valAx>
        <c:axId val="2765076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solidFill>
                <a:srgbClr val="000000">
                  <a:alpha val="3700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 Passing Each Sieve Size</a:t>
                </a:r>
              </a:p>
            </c:rich>
          </c:tx>
          <c:layout>
            <c:manualLayout>
              <c:xMode val="edge"/>
              <c:yMode val="edge"/>
              <c:x val="6.0753341433778859E-3"/>
              <c:y val="0.214132762312633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07272"/>
        <c:crosses val="autoZero"/>
        <c:crossBetween val="midCat"/>
        <c:majorUnit val="20"/>
        <c:minorUnit val="1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Voids vs. A.C. Content</a:t>
            </a:r>
          </a:p>
        </c:rich>
      </c:tx>
      <c:layout>
        <c:manualLayout>
          <c:xMode val="edge"/>
          <c:yMode val="edge"/>
          <c:x val="0.38062784443895398"/>
          <c:y val="3.80622837370242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8962318367501"/>
          <c:y val="0.12292547313164803"/>
          <c:w val="0.80175791241798378"/>
          <c:h val="0.7291469816272966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5875"/>
            </c:spPr>
            <c:trendlineType val="poly"/>
            <c:order val="3"/>
            <c:dispRSqr val="0"/>
            <c:dispEq val="0"/>
          </c:trendline>
          <c:xVal>
            <c:numRef>
              <c:f>'Form 429 Blank'!$H$50:$K$50</c:f>
              <c:numCache>
                <c:formatCode>0.00</c:formatCode>
                <c:ptCount val="4"/>
              </c:numCache>
            </c:numRef>
          </c:xVal>
          <c:yVal>
            <c:numRef>
              <c:f>'Form 429 Blank'!$H$56:$K$56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AE-4FB7-8FDD-547AA7E41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509624"/>
        <c:axId val="276510016"/>
      </c:scatterChart>
      <c:valAx>
        <c:axId val="276509624"/>
        <c:scaling>
          <c:orientation val="minMax"/>
          <c:min val="4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A.C. Content</a:t>
                </a:r>
              </a:p>
            </c:rich>
          </c:tx>
          <c:layout>
            <c:manualLayout>
              <c:xMode val="edge"/>
              <c:yMode val="edge"/>
              <c:x val="0.46029467513006672"/>
              <c:y val="0.9255311507114242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10016"/>
        <c:crosses val="autoZero"/>
        <c:crossBetween val="midCat"/>
        <c:majorUnit val="1"/>
        <c:minorUnit val="0.1"/>
      </c:valAx>
      <c:valAx>
        <c:axId val="276510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Voids (percent)</a:t>
                </a:r>
              </a:p>
            </c:rich>
          </c:tx>
          <c:layout>
            <c:manualLayout>
              <c:xMode val="edge"/>
              <c:yMode val="edge"/>
              <c:x val="2.1828103683492497E-2"/>
              <c:y val="0.325260242123713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09624"/>
        <c:crosses val="autoZero"/>
        <c:crossBetween val="midCat"/>
        <c:majorUnit val="1"/>
        <c:minorUnit val="0.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VMA vs. A.C. Content</a:t>
            </a:r>
          </a:p>
        </c:rich>
      </c:tx>
      <c:layout>
        <c:manualLayout>
          <c:xMode val="edge"/>
          <c:yMode val="edge"/>
          <c:x val="0.38692098092643051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80002395966064"/>
          <c:y val="0.12114483348277499"/>
          <c:w val="0.79468683634462689"/>
          <c:h val="0.7395498008260940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9050"/>
            </c:spPr>
            <c:trendlineType val="poly"/>
            <c:order val="3"/>
            <c:dispRSqr val="0"/>
            <c:dispEq val="0"/>
          </c:trendline>
          <c:xVal>
            <c:numRef>
              <c:f>'Form 429 Blank'!$H$50:$K$50</c:f>
              <c:numCache>
                <c:formatCode>0.00</c:formatCode>
                <c:ptCount val="4"/>
              </c:numCache>
            </c:numRef>
          </c:xVal>
          <c:yVal>
            <c:numRef>
              <c:f>'Form 429 Blank'!$H$58:$K$58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46-4770-A6A9-8C641F17C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510800"/>
        <c:axId val="276511192"/>
      </c:scatterChart>
      <c:valAx>
        <c:axId val="276510800"/>
        <c:scaling>
          <c:orientation val="minMax"/>
          <c:min val="4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A.C. Content</a:t>
                </a:r>
              </a:p>
            </c:rich>
          </c:tx>
          <c:layout>
            <c:manualLayout>
              <c:xMode val="edge"/>
              <c:yMode val="edge"/>
              <c:x val="0.46279795323960987"/>
              <c:y val="0.930285151867040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11192"/>
        <c:crosses val="autoZero"/>
        <c:crossBetween val="midCat"/>
        <c:majorUnit val="1"/>
        <c:minorUnit val="0.1"/>
      </c:valAx>
      <c:valAx>
        <c:axId val="276511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VMA (percent)</a:t>
                </a:r>
              </a:p>
            </c:rich>
          </c:tx>
          <c:layout>
            <c:manualLayout>
              <c:xMode val="edge"/>
              <c:yMode val="edge"/>
              <c:x val="2.1798365122615803E-2"/>
              <c:y val="0.3333344269466316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10800"/>
        <c:crosses val="autoZero"/>
        <c:crossBetween val="midCat"/>
        <c:majorUnit val="0.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Max Sp. G. vs. A.C. Content</a:t>
            </a:r>
          </a:p>
        </c:rich>
      </c:tx>
      <c:layout>
        <c:manualLayout>
          <c:xMode val="edge"/>
          <c:yMode val="edge"/>
          <c:x val="0.35607122779502492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47831847452869"/>
          <c:y val="0.13393480305222019"/>
          <c:w val="0.77365177263533647"/>
          <c:h val="0.7275356604820421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9050"/>
            </c:spPr>
            <c:trendlineType val="log"/>
            <c:dispRSqr val="0"/>
            <c:dispEq val="0"/>
          </c:trendline>
          <c:xVal>
            <c:numRef>
              <c:f>'Form 429 Blank'!$H$50:$K$50</c:f>
              <c:numCache>
                <c:formatCode>0.00</c:formatCode>
                <c:ptCount val="4"/>
              </c:numCache>
            </c:numRef>
          </c:xVal>
          <c:yVal>
            <c:numRef>
              <c:f>'Form 429 Blank'!$H$51:$K$51</c:f>
              <c:numCache>
                <c:formatCode>0.000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16-4C40-8172-5F5A8B418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505704"/>
        <c:axId val="278974368"/>
      </c:scatterChart>
      <c:valAx>
        <c:axId val="276505704"/>
        <c:scaling>
          <c:orientation val="minMax"/>
          <c:max val="8"/>
          <c:min val="4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A.C. Content</a:t>
                </a:r>
              </a:p>
            </c:rich>
          </c:tx>
          <c:layout>
            <c:manualLayout>
              <c:xMode val="edge"/>
              <c:yMode val="edge"/>
              <c:x val="0.49210217011547308"/>
              <c:y val="0.9262512810453200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8974368"/>
        <c:crosses val="autoZero"/>
        <c:crossBetween val="midCat"/>
        <c:majorUnit val="1"/>
        <c:minorUnit val="0.1"/>
      </c:valAx>
      <c:valAx>
        <c:axId val="278974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Maximum Specific Gravity</a:t>
                </a:r>
              </a:p>
            </c:rich>
          </c:tx>
          <c:layout>
            <c:manualLayout>
              <c:xMode val="edge"/>
              <c:yMode val="edge"/>
              <c:x val="1.7735334242837655E-2"/>
              <c:y val="0.36805664916885389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5057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90</xdr:row>
      <xdr:rowOff>7938</xdr:rowOff>
    </xdr:from>
    <xdr:to>
      <xdr:col>16</xdr:col>
      <xdr:colOff>342900</xdr:colOff>
      <xdr:row>107</xdr:row>
      <xdr:rowOff>150813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207963</xdr:colOff>
      <xdr:row>109</xdr:row>
      <xdr:rowOff>133350</xdr:rowOff>
    </xdr:from>
    <xdr:to>
      <xdr:col>16</xdr:col>
      <xdr:colOff>352425</xdr:colOff>
      <xdr:row>129</xdr:row>
      <xdr:rowOff>160338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219075</xdr:colOff>
      <xdr:row>133</xdr:row>
      <xdr:rowOff>15876</xdr:rowOff>
    </xdr:from>
    <xdr:to>
      <xdr:col>16</xdr:col>
      <xdr:colOff>361949</xdr:colOff>
      <xdr:row>152</xdr:row>
      <xdr:rowOff>28575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228599</xdr:colOff>
      <xdr:row>153</xdr:row>
      <xdr:rowOff>47624</xdr:rowOff>
    </xdr:from>
    <xdr:to>
      <xdr:col>16</xdr:col>
      <xdr:colOff>361950</xdr:colOff>
      <xdr:row>172</xdr:row>
      <xdr:rowOff>47624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247650</xdr:colOff>
      <xdr:row>177</xdr:row>
      <xdr:rowOff>39688</xdr:rowOff>
    </xdr:from>
    <xdr:to>
      <xdr:col>16</xdr:col>
      <xdr:colOff>352425</xdr:colOff>
      <xdr:row>197</xdr:row>
      <xdr:rowOff>57150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142874</xdr:colOff>
      <xdr:row>211</xdr:row>
      <xdr:rowOff>85726</xdr:rowOff>
    </xdr:from>
    <xdr:to>
      <xdr:col>17</xdr:col>
      <xdr:colOff>339724</xdr:colOff>
      <xdr:row>248</xdr:row>
      <xdr:rowOff>9525</xdr:rowOff>
    </xdr:to>
    <xdr:graphicFrame macro="">
      <xdr:nvGraphicFramePr>
        <xdr:cNvPr id="7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</xdr:row>
          <xdr:rowOff>152400</xdr:rowOff>
        </xdr:from>
        <xdr:to>
          <xdr:col>16</xdr:col>
          <xdr:colOff>495300</xdr:colOff>
          <xdr:row>6</xdr:row>
          <xdr:rowOff>28575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533400</xdr:colOff>
          <xdr:row>4</xdr:row>
          <xdr:rowOff>152400</xdr:rowOff>
        </xdr:from>
        <xdr:to>
          <xdr:col>17</xdr:col>
          <xdr:colOff>314325</xdr:colOff>
          <xdr:row>6</xdr:row>
          <xdr:rowOff>28575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90</xdr:row>
      <xdr:rowOff>7938</xdr:rowOff>
    </xdr:from>
    <xdr:to>
      <xdr:col>16</xdr:col>
      <xdr:colOff>342900</xdr:colOff>
      <xdr:row>107</xdr:row>
      <xdr:rowOff>150813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207963</xdr:colOff>
      <xdr:row>109</xdr:row>
      <xdr:rowOff>133350</xdr:rowOff>
    </xdr:from>
    <xdr:to>
      <xdr:col>16</xdr:col>
      <xdr:colOff>352425</xdr:colOff>
      <xdr:row>129</xdr:row>
      <xdr:rowOff>160338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219075</xdr:colOff>
      <xdr:row>133</xdr:row>
      <xdr:rowOff>15876</xdr:rowOff>
    </xdr:from>
    <xdr:to>
      <xdr:col>16</xdr:col>
      <xdr:colOff>361949</xdr:colOff>
      <xdr:row>152</xdr:row>
      <xdr:rowOff>28575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228599</xdr:colOff>
      <xdr:row>153</xdr:row>
      <xdr:rowOff>47624</xdr:rowOff>
    </xdr:from>
    <xdr:to>
      <xdr:col>16</xdr:col>
      <xdr:colOff>361950</xdr:colOff>
      <xdr:row>172</xdr:row>
      <xdr:rowOff>47624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247650</xdr:colOff>
      <xdr:row>177</xdr:row>
      <xdr:rowOff>39688</xdr:rowOff>
    </xdr:from>
    <xdr:to>
      <xdr:col>16</xdr:col>
      <xdr:colOff>352425</xdr:colOff>
      <xdr:row>197</xdr:row>
      <xdr:rowOff>57150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142874</xdr:colOff>
      <xdr:row>211</xdr:row>
      <xdr:rowOff>85726</xdr:rowOff>
    </xdr:from>
    <xdr:to>
      <xdr:col>17</xdr:col>
      <xdr:colOff>339724</xdr:colOff>
      <xdr:row>248</xdr:row>
      <xdr:rowOff>9525</xdr:rowOff>
    </xdr:to>
    <xdr:graphicFrame macro="">
      <xdr:nvGraphicFramePr>
        <xdr:cNvPr id="7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</xdr:row>
          <xdr:rowOff>152400</xdr:rowOff>
        </xdr:from>
        <xdr:to>
          <xdr:col>16</xdr:col>
          <xdr:colOff>495300</xdr:colOff>
          <xdr:row>6</xdr:row>
          <xdr:rowOff>28575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533400</xdr:colOff>
          <xdr:row>4</xdr:row>
          <xdr:rowOff>152400</xdr:rowOff>
        </xdr:from>
        <xdr:to>
          <xdr:col>17</xdr:col>
          <xdr:colOff>314325</xdr:colOff>
          <xdr:row>6</xdr:row>
          <xdr:rowOff>28575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selection activeCell="E32" sqref="E32"/>
    </sheetView>
  </sheetViews>
  <sheetFormatPr defaultRowHeight="12.75" x14ac:dyDescent="0.2"/>
  <cols>
    <col min="10" max="10" width="10" customWidth="1"/>
  </cols>
  <sheetData>
    <row r="1" spans="1:2" x14ac:dyDescent="0.2">
      <c r="A1" s="63" t="s">
        <v>222</v>
      </c>
    </row>
    <row r="3" spans="1:2" x14ac:dyDescent="0.2">
      <c r="A3" s="61" t="s">
        <v>219</v>
      </c>
    </row>
    <row r="4" spans="1:2" x14ac:dyDescent="0.2">
      <c r="A4" s="61" t="s">
        <v>220</v>
      </c>
    </row>
    <row r="5" spans="1:2" x14ac:dyDescent="0.2">
      <c r="A5" s="61" t="s">
        <v>221</v>
      </c>
    </row>
    <row r="7" spans="1:2" x14ac:dyDescent="0.2">
      <c r="A7" s="63" t="s">
        <v>223</v>
      </c>
    </row>
    <row r="9" spans="1:2" x14ac:dyDescent="0.2">
      <c r="A9" s="61" t="s">
        <v>224</v>
      </c>
    </row>
    <row r="11" spans="1:2" x14ac:dyDescent="0.2">
      <c r="A11" s="63" t="s">
        <v>160</v>
      </c>
    </row>
    <row r="12" spans="1:2" x14ac:dyDescent="0.2">
      <c r="A12" s="64"/>
    </row>
    <row r="13" spans="1:2" x14ac:dyDescent="0.2">
      <c r="A13" s="65">
        <v>1</v>
      </c>
      <c r="B13" s="61" t="s">
        <v>164</v>
      </c>
    </row>
    <row r="14" spans="1:2" x14ac:dyDescent="0.2">
      <c r="A14" s="62"/>
      <c r="B14" s="61" t="s">
        <v>165</v>
      </c>
    </row>
    <row r="15" spans="1:2" x14ac:dyDescent="0.2">
      <c r="A15" s="62"/>
      <c r="B15" s="61"/>
    </row>
    <row r="16" spans="1:2" x14ac:dyDescent="0.2">
      <c r="A16" s="62">
        <v>2</v>
      </c>
      <c r="B16" s="61" t="s">
        <v>213</v>
      </c>
    </row>
    <row r="17" spans="1:2" x14ac:dyDescent="0.2">
      <c r="A17" s="62"/>
      <c r="B17" s="61" t="s">
        <v>214</v>
      </c>
    </row>
    <row r="18" spans="1:2" x14ac:dyDescent="0.2">
      <c r="A18" s="62"/>
      <c r="B18" s="61" t="s">
        <v>212</v>
      </c>
    </row>
    <row r="19" spans="1:2" x14ac:dyDescent="0.2">
      <c r="A19" s="62"/>
      <c r="B19" s="61" t="s">
        <v>162</v>
      </c>
    </row>
    <row r="20" spans="1:2" x14ac:dyDescent="0.2">
      <c r="A20" s="62"/>
      <c r="B20" s="61"/>
    </row>
    <row r="21" spans="1:2" x14ac:dyDescent="0.2">
      <c r="A21" s="62">
        <v>3</v>
      </c>
      <c r="B21" t="s">
        <v>158</v>
      </c>
    </row>
    <row r="22" spans="1:2" x14ac:dyDescent="0.2">
      <c r="A22" s="62"/>
      <c r="B22" s="61" t="s">
        <v>159</v>
      </c>
    </row>
    <row r="23" spans="1:2" x14ac:dyDescent="0.2">
      <c r="A23" s="62"/>
    </row>
    <row r="24" spans="1:2" x14ac:dyDescent="0.2">
      <c r="A24" s="62">
        <v>4</v>
      </c>
      <c r="B24" s="61" t="s">
        <v>215</v>
      </c>
    </row>
    <row r="26" spans="1:2" x14ac:dyDescent="0.2">
      <c r="A26" t="s">
        <v>225</v>
      </c>
    </row>
    <row r="27" spans="1:2" x14ac:dyDescent="0.2">
      <c r="A27" s="61" t="s">
        <v>234</v>
      </c>
    </row>
    <row r="28" spans="1:2" x14ac:dyDescent="0.2">
      <c r="A28" t="s">
        <v>226</v>
      </c>
    </row>
    <row r="29" spans="1:2" x14ac:dyDescent="0.2">
      <c r="A29" t="s">
        <v>227</v>
      </c>
    </row>
    <row r="31" spans="1:2" x14ac:dyDescent="0.2">
      <c r="A31" s="64" t="s">
        <v>161</v>
      </c>
    </row>
    <row r="32" spans="1:2" x14ac:dyDescent="0.2">
      <c r="A32" s="62"/>
    </row>
    <row r="33" spans="1:13" x14ac:dyDescent="0.2">
      <c r="A33" s="62">
        <v>5</v>
      </c>
      <c r="B33" s="61" t="s">
        <v>163</v>
      </c>
    </row>
    <row r="34" spans="1:13" x14ac:dyDescent="0.2">
      <c r="A34" s="62"/>
      <c r="B34" s="61" t="s">
        <v>217</v>
      </c>
    </row>
    <row r="35" spans="1:13" x14ac:dyDescent="0.2">
      <c r="A35" s="62"/>
      <c r="B35" s="61"/>
    </row>
    <row r="36" spans="1:13" x14ac:dyDescent="0.2">
      <c r="A36" s="62">
        <v>6</v>
      </c>
      <c r="B36" s="61" t="s">
        <v>218</v>
      </c>
    </row>
    <row r="37" spans="1:13" x14ac:dyDescent="0.2">
      <c r="A37" s="62"/>
      <c r="B37" s="61" t="s">
        <v>216</v>
      </c>
    </row>
    <row r="38" spans="1:13" x14ac:dyDescent="0.2">
      <c r="A38" s="62"/>
    </row>
    <row r="39" spans="1:13" x14ac:dyDescent="0.2">
      <c r="A39" s="62">
        <v>7</v>
      </c>
      <c r="B39" s="176" t="s">
        <v>242</v>
      </c>
      <c r="C39" s="176"/>
      <c r="D39" s="176"/>
      <c r="E39" s="176"/>
      <c r="F39" s="176"/>
      <c r="G39" s="176"/>
      <c r="H39" s="176"/>
      <c r="I39" s="176"/>
      <c r="J39" s="176"/>
      <c r="M39" s="61"/>
    </row>
    <row r="40" spans="1:13" x14ac:dyDescent="0.2">
      <c r="A40" s="62"/>
      <c r="B40" s="176"/>
      <c r="C40" s="176"/>
      <c r="D40" s="176"/>
      <c r="E40" s="176"/>
      <c r="F40" s="176"/>
      <c r="G40" s="176"/>
      <c r="H40" s="176"/>
      <c r="I40" s="176"/>
      <c r="J40" s="176"/>
      <c r="M40" s="61"/>
    </row>
    <row r="41" spans="1:13" x14ac:dyDescent="0.2">
      <c r="A41" s="162"/>
    </row>
    <row r="42" spans="1:13" x14ac:dyDescent="0.2">
      <c r="A42" s="61" t="s">
        <v>228</v>
      </c>
    </row>
    <row r="43" spans="1:13" x14ac:dyDescent="0.2">
      <c r="A43" s="61" t="s">
        <v>229</v>
      </c>
    </row>
    <row r="44" spans="1:13" x14ac:dyDescent="0.2">
      <c r="A44" s="162"/>
    </row>
    <row r="45" spans="1:13" x14ac:dyDescent="0.2">
      <c r="A45" s="63" t="s">
        <v>230</v>
      </c>
    </row>
    <row r="46" spans="1:13" x14ac:dyDescent="0.2">
      <c r="A46" s="162"/>
    </row>
    <row r="47" spans="1:13" x14ac:dyDescent="0.2">
      <c r="A47" s="61" t="s">
        <v>231</v>
      </c>
    </row>
    <row r="48" spans="1:13" x14ac:dyDescent="0.2">
      <c r="A48" s="162"/>
    </row>
    <row r="49" spans="1:1" x14ac:dyDescent="0.2">
      <c r="A49" s="63" t="s">
        <v>232</v>
      </c>
    </row>
    <row r="50" spans="1:1" x14ac:dyDescent="0.2">
      <c r="A50" s="162"/>
    </row>
    <row r="51" spans="1:1" x14ac:dyDescent="0.2">
      <c r="A51" s="61" t="s">
        <v>233</v>
      </c>
    </row>
    <row r="52" spans="1:1" x14ac:dyDescent="0.2">
      <c r="A52" s="162"/>
    </row>
    <row r="53" spans="1:1" x14ac:dyDescent="0.2">
      <c r="A53" s="62"/>
    </row>
    <row r="54" spans="1:1" x14ac:dyDescent="0.2">
      <c r="A54" s="62"/>
    </row>
    <row r="55" spans="1:1" x14ac:dyDescent="0.2">
      <c r="A55" s="62"/>
    </row>
    <row r="56" spans="1:1" x14ac:dyDescent="0.2">
      <c r="A56" s="62"/>
    </row>
    <row r="57" spans="1:1" x14ac:dyDescent="0.2">
      <c r="A57" s="62"/>
    </row>
    <row r="58" spans="1:1" x14ac:dyDescent="0.2">
      <c r="A58" s="62"/>
    </row>
    <row r="59" spans="1:1" x14ac:dyDescent="0.2">
      <c r="A59" s="62"/>
    </row>
    <row r="60" spans="1:1" x14ac:dyDescent="0.2">
      <c r="A60" s="62"/>
    </row>
    <row r="61" spans="1:1" x14ac:dyDescent="0.2">
      <c r="A61" s="62"/>
    </row>
    <row r="62" spans="1:1" x14ac:dyDescent="0.2">
      <c r="A62" s="62"/>
    </row>
    <row r="63" spans="1:1" x14ac:dyDescent="0.2">
      <c r="A63" s="62"/>
    </row>
    <row r="64" spans="1:1" x14ac:dyDescent="0.2">
      <c r="A64" s="62"/>
    </row>
    <row r="65" spans="1:1" x14ac:dyDescent="0.2">
      <c r="A65" s="62"/>
    </row>
  </sheetData>
  <sheetProtection password="CD0D" sheet="1" objects="1" scenarios="1"/>
  <mergeCells count="1">
    <mergeCell ref="B39:J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251"/>
  <sheetViews>
    <sheetView tabSelected="1" zoomScaleNormal="100" workbookViewId="0">
      <selection activeCell="N26" sqref="N26"/>
    </sheetView>
  </sheetViews>
  <sheetFormatPr defaultRowHeight="12.75" x14ac:dyDescent="0.2"/>
  <cols>
    <col min="1" max="1" width="9.140625" style="4"/>
    <col min="2" max="2" width="8.42578125" style="4" customWidth="1"/>
    <col min="3" max="3" width="5.42578125" style="4" customWidth="1"/>
    <col min="4" max="4" width="5.28515625" style="4" customWidth="1"/>
    <col min="5" max="5" width="7.140625" style="4" customWidth="1"/>
    <col min="6" max="6" width="9.85546875" style="4" customWidth="1"/>
    <col min="7" max="7" width="9.140625" style="4"/>
    <col min="8" max="13" width="8.85546875" style="4" customWidth="1"/>
    <col min="14" max="15" width="9.42578125" style="4" customWidth="1"/>
    <col min="16" max="16" width="10.140625" style="4" customWidth="1"/>
    <col min="17" max="17" width="9.7109375" style="4" customWidth="1"/>
    <col min="18" max="18" width="9.140625" style="4" customWidth="1"/>
    <col min="19" max="19" width="9.140625" style="4" hidden="1" customWidth="1"/>
    <col min="20" max="20" width="11.5703125" style="4" hidden="1" customWidth="1"/>
    <col min="21" max="34" width="9.140625" style="4" hidden="1" customWidth="1"/>
    <col min="35" max="47" width="5.7109375" style="4" hidden="1" customWidth="1"/>
    <col min="48" max="49" width="4.7109375" style="4" hidden="1" customWidth="1"/>
    <col min="50" max="60" width="9.140625" style="4" hidden="1" customWidth="1"/>
    <col min="61" max="62" width="4.7109375" style="4" hidden="1" customWidth="1"/>
    <col min="63" max="16384" width="9.140625" style="4"/>
  </cols>
  <sheetData>
    <row r="1" spans="1:62" x14ac:dyDescent="0.2">
      <c r="A1" s="103"/>
      <c r="B1" s="177" t="s">
        <v>245</v>
      </c>
      <c r="C1" s="178"/>
      <c r="D1" s="179"/>
      <c r="E1" s="179"/>
      <c r="F1" s="179"/>
      <c r="G1" s="179"/>
      <c r="H1" s="179"/>
      <c r="I1" s="92"/>
      <c r="J1" s="92"/>
      <c r="K1" s="92"/>
      <c r="L1" s="92"/>
      <c r="M1" s="92"/>
      <c r="N1" s="92"/>
      <c r="O1" s="93" t="s">
        <v>186</v>
      </c>
      <c r="P1" s="94"/>
      <c r="Q1" s="169" t="s">
        <v>246</v>
      </c>
      <c r="R1" s="95"/>
      <c r="S1" s="3"/>
      <c r="T1" s="3"/>
      <c r="AV1" s="103"/>
      <c r="AW1" s="103"/>
      <c r="BI1" s="103"/>
      <c r="BJ1" s="103"/>
    </row>
    <row r="2" spans="1:62" x14ac:dyDescent="0.2">
      <c r="A2" s="103"/>
      <c r="B2" s="96" t="s">
        <v>211</v>
      </c>
      <c r="C2" s="97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7"/>
      <c r="Q2" s="100"/>
      <c r="R2" s="101"/>
      <c r="S2" s="3"/>
      <c r="T2" s="3"/>
      <c r="AV2" s="103"/>
      <c r="AW2" s="103"/>
      <c r="BI2" s="103"/>
      <c r="BJ2" s="103"/>
    </row>
    <row r="3" spans="1:62" x14ac:dyDescent="0.2">
      <c r="A3" s="103"/>
      <c r="B3" s="102" t="s">
        <v>236</v>
      </c>
      <c r="C3" s="59"/>
      <c r="D3" s="27"/>
      <c r="E3" s="27"/>
      <c r="F3" s="55"/>
      <c r="G3" s="27"/>
      <c r="H3" s="27" t="s">
        <v>0</v>
      </c>
      <c r="I3" s="27"/>
      <c r="J3" s="180">
        <v>40698</v>
      </c>
      <c r="K3" s="180"/>
      <c r="L3" s="43"/>
      <c r="M3" s="55"/>
      <c r="N3" s="55"/>
      <c r="O3" s="103"/>
      <c r="P3" s="27" t="s">
        <v>2</v>
      </c>
      <c r="Q3" s="170">
        <v>5</v>
      </c>
      <c r="R3" s="104"/>
      <c r="S3" s="3"/>
      <c r="AV3" s="103"/>
      <c r="AW3" s="103"/>
      <c r="BI3" s="103"/>
      <c r="BJ3" s="103"/>
    </row>
    <row r="4" spans="1:62" x14ac:dyDescent="0.2">
      <c r="A4" s="103"/>
      <c r="B4" s="105" t="s">
        <v>1</v>
      </c>
      <c r="C4" s="27"/>
      <c r="D4" s="27"/>
      <c r="E4" s="27"/>
      <c r="F4" s="5">
        <v>123456</v>
      </c>
      <c r="G4" s="27"/>
      <c r="H4" s="27" t="s">
        <v>239</v>
      </c>
      <c r="I4" s="27"/>
      <c r="J4" s="170" t="s">
        <v>247</v>
      </c>
      <c r="K4" s="170"/>
      <c r="L4" s="43"/>
      <c r="M4" s="55"/>
      <c r="N4" s="55"/>
      <c r="O4" s="27"/>
      <c r="P4" s="27"/>
      <c r="Q4" s="27"/>
      <c r="R4" s="104"/>
      <c r="S4" s="3"/>
      <c r="T4" s="3"/>
      <c r="AV4" s="103"/>
      <c r="AW4" s="103"/>
      <c r="BI4" s="103"/>
      <c r="BJ4" s="103"/>
    </row>
    <row r="5" spans="1:62" ht="13.5" thickBot="1" x14ac:dyDescent="0.25">
      <c r="A5" s="103"/>
      <c r="B5" s="105" t="s">
        <v>237</v>
      </c>
      <c r="C5" s="27"/>
      <c r="D5" s="27"/>
      <c r="E5" s="27"/>
      <c r="F5" s="5">
        <v>17619</v>
      </c>
      <c r="G5" s="27"/>
      <c r="H5" s="27" t="s">
        <v>238</v>
      </c>
      <c r="I5" s="27"/>
      <c r="J5" s="170" t="s">
        <v>248</v>
      </c>
      <c r="K5" s="74"/>
      <c r="L5" s="43"/>
      <c r="M5" s="78"/>
      <c r="N5" s="55"/>
      <c r="O5" s="47"/>
      <c r="P5" s="47"/>
      <c r="Q5" s="47"/>
      <c r="R5" s="106"/>
      <c r="S5" s="3"/>
      <c r="T5" s="3"/>
      <c r="AV5" s="103"/>
      <c r="AW5" s="103"/>
      <c r="BI5" s="103"/>
      <c r="BJ5" s="103"/>
    </row>
    <row r="6" spans="1:62" x14ac:dyDescent="0.2">
      <c r="A6" s="103"/>
      <c r="B6" s="107" t="s">
        <v>3</v>
      </c>
      <c r="C6" s="94"/>
      <c r="D6" s="92" t="s">
        <v>4</v>
      </c>
      <c r="E6" s="92"/>
      <c r="F6" s="92"/>
      <c r="G6" s="181" t="s">
        <v>249</v>
      </c>
      <c r="H6" s="181"/>
      <c r="I6" s="92" t="s">
        <v>6</v>
      </c>
      <c r="J6" s="6" t="s">
        <v>243</v>
      </c>
      <c r="K6" s="92" t="s">
        <v>100</v>
      </c>
      <c r="L6" s="84"/>
      <c r="M6" s="71" t="s">
        <v>109</v>
      </c>
      <c r="N6" s="108" t="s">
        <v>85</v>
      </c>
      <c r="O6" s="76">
        <v>100</v>
      </c>
      <c r="P6" s="109" t="s">
        <v>170</v>
      </c>
      <c r="Q6" s="110"/>
      <c r="R6" s="72"/>
      <c r="S6" s="3"/>
      <c r="T6" s="3"/>
      <c r="AV6" s="103"/>
      <c r="AW6" s="103"/>
      <c r="BI6" s="103"/>
      <c r="BJ6" s="103"/>
    </row>
    <row r="7" spans="1:62" x14ac:dyDescent="0.2">
      <c r="A7" s="103"/>
      <c r="B7" s="102"/>
      <c r="C7" s="59"/>
      <c r="D7" s="27" t="s">
        <v>5</v>
      </c>
      <c r="E7" s="27"/>
      <c r="F7" s="27"/>
      <c r="G7" s="182" t="s">
        <v>250</v>
      </c>
      <c r="H7" s="182"/>
      <c r="I7" s="27" t="s">
        <v>93</v>
      </c>
      <c r="J7" s="43" t="s">
        <v>251</v>
      </c>
      <c r="K7" s="55" t="s">
        <v>91</v>
      </c>
      <c r="L7" s="43" t="s">
        <v>97</v>
      </c>
      <c r="M7" s="27" t="s">
        <v>190</v>
      </c>
      <c r="N7" s="111"/>
      <c r="O7" s="160"/>
      <c r="P7" s="112" t="s">
        <v>171</v>
      </c>
      <c r="Q7" s="183"/>
      <c r="R7" s="184"/>
      <c r="S7" s="3"/>
      <c r="T7" s="3"/>
      <c r="AV7" s="103"/>
      <c r="AW7" s="103"/>
      <c r="BI7" s="103"/>
      <c r="BJ7" s="103"/>
    </row>
    <row r="8" spans="1:62" ht="13.5" thickBot="1" x14ac:dyDescent="0.25">
      <c r="A8" s="103"/>
      <c r="B8" s="113"/>
      <c r="C8" s="47"/>
      <c r="D8" s="47" t="s">
        <v>205</v>
      </c>
      <c r="E8" s="114"/>
      <c r="F8" s="114"/>
      <c r="G8" s="115"/>
      <c r="H8" s="69"/>
      <c r="I8" s="114"/>
      <c r="J8" s="114"/>
      <c r="K8" s="116" t="s">
        <v>206</v>
      </c>
      <c r="L8" s="69"/>
      <c r="M8" s="69"/>
      <c r="N8" s="69"/>
      <c r="O8" s="114"/>
      <c r="P8" s="114"/>
      <c r="Q8" s="114"/>
      <c r="R8" s="117"/>
      <c r="S8" s="3"/>
      <c r="T8" s="3"/>
      <c r="AV8" s="103"/>
      <c r="AW8" s="103"/>
      <c r="BI8" s="103"/>
      <c r="BJ8" s="103"/>
    </row>
    <row r="9" spans="1:62" x14ac:dyDescent="0.2">
      <c r="A9" s="103"/>
      <c r="B9" s="102" t="s">
        <v>70</v>
      </c>
      <c r="C9" s="59"/>
      <c r="D9" s="27"/>
      <c r="E9" s="27"/>
      <c r="F9" s="27"/>
      <c r="G9" s="27"/>
      <c r="H9" s="27"/>
      <c r="I9" s="27"/>
      <c r="J9" s="59" t="s">
        <v>7</v>
      </c>
      <c r="K9" s="27"/>
      <c r="L9" s="27"/>
      <c r="M9" s="27"/>
      <c r="N9" s="27"/>
      <c r="O9" s="27"/>
      <c r="P9" s="27"/>
      <c r="Q9" s="27"/>
      <c r="R9" s="118"/>
      <c r="S9" s="3"/>
      <c r="T9" s="51"/>
      <c r="U9" s="34"/>
      <c r="AV9" s="103"/>
      <c r="AW9" s="103"/>
      <c r="BI9" s="103"/>
      <c r="BJ9" s="103"/>
    </row>
    <row r="10" spans="1:62" x14ac:dyDescent="0.2">
      <c r="A10" s="103"/>
      <c r="B10" s="102"/>
      <c r="C10" s="59"/>
      <c r="D10" s="27"/>
      <c r="E10" s="27"/>
      <c r="F10" s="189" t="s">
        <v>140</v>
      </c>
      <c r="G10" s="189"/>
      <c r="H10" s="189"/>
      <c r="I10" s="189"/>
      <c r="J10" s="189"/>
      <c r="K10" s="189"/>
      <c r="L10" s="27"/>
      <c r="M10" s="189" t="s">
        <v>141</v>
      </c>
      <c r="N10" s="189"/>
      <c r="O10" s="189"/>
      <c r="P10" s="27"/>
      <c r="Q10" s="27"/>
      <c r="R10" s="118"/>
      <c r="S10" s="3"/>
      <c r="T10" s="51"/>
      <c r="U10" s="34" t="s">
        <v>141</v>
      </c>
      <c r="AV10" s="103"/>
      <c r="AW10" s="103"/>
      <c r="BI10" s="103"/>
      <c r="BJ10" s="103"/>
    </row>
    <row r="11" spans="1:62" x14ac:dyDescent="0.2">
      <c r="A11" s="103"/>
      <c r="B11" s="105" t="s">
        <v>60</v>
      </c>
      <c r="C11" s="27"/>
      <c r="D11" s="27"/>
      <c r="E11" s="27"/>
      <c r="F11" s="8" t="s">
        <v>252</v>
      </c>
      <c r="G11" s="8" t="s">
        <v>253</v>
      </c>
      <c r="H11" s="8" t="s">
        <v>254</v>
      </c>
      <c r="I11" s="8" t="s">
        <v>255</v>
      </c>
      <c r="J11" s="8" t="s">
        <v>256</v>
      </c>
      <c r="K11" s="9"/>
      <c r="L11" s="103"/>
      <c r="M11" s="8" t="s">
        <v>257</v>
      </c>
      <c r="N11" s="8"/>
      <c r="O11" s="8" t="s">
        <v>258</v>
      </c>
      <c r="P11" s="103"/>
      <c r="Q11" s="119" t="s">
        <v>69</v>
      </c>
      <c r="R11" s="104"/>
      <c r="S11" s="3"/>
      <c r="T11" s="3"/>
      <c r="U11" s="4" t="s">
        <v>257</v>
      </c>
      <c r="AV11" s="103"/>
      <c r="AW11" s="103"/>
      <c r="BI11" s="103"/>
      <c r="BJ11" s="103"/>
    </row>
    <row r="12" spans="1:62" x14ac:dyDescent="0.2">
      <c r="A12" s="103"/>
      <c r="B12" s="105" t="s">
        <v>61</v>
      </c>
      <c r="C12" s="27"/>
      <c r="D12" s="27"/>
      <c r="E12" s="27"/>
      <c r="F12" s="8" t="s">
        <v>259</v>
      </c>
      <c r="G12" s="8" t="s">
        <v>259</v>
      </c>
      <c r="H12" s="8" t="s">
        <v>260</v>
      </c>
      <c r="I12" s="8" t="s">
        <v>260</v>
      </c>
      <c r="J12" s="8" t="s">
        <v>261</v>
      </c>
      <c r="K12" s="9"/>
      <c r="L12" s="103"/>
      <c r="M12" s="27" t="s">
        <v>191</v>
      </c>
      <c r="N12" s="27" t="s">
        <v>191</v>
      </c>
      <c r="O12" s="27" t="s">
        <v>191</v>
      </c>
      <c r="P12" s="103"/>
      <c r="Q12" s="120" t="s">
        <v>65</v>
      </c>
      <c r="R12" s="104" t="s">
        <v>66</v>
      </c>
      <c r="S12" s="3"/>
      <c r="T12" s="3"/>
      <c r="U12" s="4" t="s">
        <v>258</v>
      </c>
      <c r="AV12" s="103"/>
      <c r="AW12" s="103"/>
      <c r="BI12" s="103"/>
      <c r="BJ12" s="103"/>
    </row>
    <row r="13" spans="1:62" x14ac:dyDescent="0.2">
      <c r="A13" s="103"/>
      <c r="B13" s="105"/>
      <c r="C13" s="27"/>
      <c r="D13" s="27"/>
      <c r="E13" s="27"/>
      <c r="F13" s="8"/>
      <c r="G13" s="8"/>
      <c r="H13" s="8"/>
      <c r="I13" s="8"/>
      <c r="J13" s="8"/>
      <c r="K13" s="9"/>
      <c r="L13" s="55"/>
      <c r="M13" s="8">
        <v>5.8</v>
      </c>
      <c r="N13" s="8"/>
      <c r="O13" s="42">
        <v>18.5</v>
      </c>
      <c r="P13" s="120"/>
      <c r="Q13" s="120"/>
      <c r="R13" s="104"/>
      <c r="S13" s="3"/>
      <c r="T13" s="3"/>
      <c r="U13" s="4" t="s">
        <v>209</v>
      </c>
      <c r="AV13" s="103"/>
      <c r="AW13" s="103"/>
      <c r="BI13" s="103"/>
      <c r="BJ13" s="103"/>
    </row>
    <row r="14" spans="1:62" x14ac:dyDescent="0.2">
      <c r="A14" s="103"/>
      <c r="B14" s="121"/>
      <c r="C14" s="27"/>
      <c r="D14" s="27"/>
      <c r="E14" s="27"/>
      <c r="F14" s="70"/>
      <c r="G14" s="70"/>
      <c r="H14" s="70"/>
      <c r="I14" s="70"/>
      <c r="J14" s="70"/>
      <c r="K14" s="122"/>
      <c r="L14" s="70" t="s">
        <v>139</v>
      </c>
      <c r="M14" s="70" t="s">
        <v>21</v>
      </c>
      <c r="N14" s="70" t="s">
        <v>21</v>
      </c>
      <c r="O14" s="70" t="s">
        <v>21</v>
      </c>
      <c r="P14" s="120" t="s">
        <v>74</v>
      </c>
      <c r="Q14" s="120"/>
      <c r="R14" s="104"/>
      <c r="S14" s="3"/>
      <c r="T14" s="3"/>
      <c r="AV14" s="103"/>
      <c r="AW14" s="103"/>
      <c r="BI14" s="103"/>
      <c r="BJ14" s="103"/>
    </row>
    <row r="15" spans="1:62" x14ac:dyDescent="0.2">
      <c r="A15" s="103"/>
      <c r="B15" s="123"/>
      <c r="C15" s="98"/>
      <c r="D15" s="98"/>
      <c r="E15" s="98"/>
      <c r="F15" s="66"/>
      <c r="G15" s="66"/>
      <c r="H15" s="66"/>
      <c r="I15" s="66"/>
      <c r="J15" s="66"/>
      <c r="K15" s="124"/>
      <c r="L15" s="125" t="s">
        <v>21</v>
      </c>
      <c r="M15" s="66"/>
      <c r="N15" s="66"/>
      <c r="O15" s="66"/>
      <c r="P15" s="171" t="s">
        <v>21</v>
      </c>
      <c r="Q15" s="120"/>
      <c r="R15" s="104"/>
      <c r="S15" s="3"/>
      <c r="T15" s="3"/>
      <c r="AD15" s="34" t="s">
        <v>107</v>
      </c>
      <c r="AV15" s="103"/>
      <c r="AW15" s="103"/>
      <c r="BI15" s="103"/>
      <c r="BJ15" s="103"/>
    </row>
    <row r="16" spans="1:62" x14ac:dyDescent="0.2">
      <c r="A16" s="103"/>
      <c r="B16" s="123" t="s">
        <v>8</v>
      </c>
      <c r="C16" s="98"/>
      <c r="D16" s="98"/>
      <c r="E16" s="98"/>
      <c r="F16" s="48">
        <v>32</v>
      </c>
      <c r="G16" s="48">
        <v>19</v>
      </c>
      <c r="H16" s="48">
        <v>10</v>
      </c>
      <c r="I16" s="48">
        <v>20</v>
      </c>
      <c r="J16" s="48">
        <v>1</v>
      </c>
      <c r="K16" s="49"/>
      <c r="L16" s="125">
        <f>SUM(F16:K16)</f>
        <v>82</v>
      </c>
      <c r="M16" s="48">
        <v>15</v>
      </c>
      <c r="N16" s="48"/>
      <c r="O16" s="60">
        <v>3</v>
      </c>
      <c r="P16" s="66">
        <f>F16+G16+H16+I16+J16+K16+M16+N16+O16</f>
        <v>100</v>
      </c>
      <c r="Q16" s="126"/>
      <c r="R16" s="127"/>
      <c r="S16" s="3"/>
      <c r="T16" s="3"/>
      <c r="AC16" s="3" t="s">
        <v>111</v>
      </c>
      <c r="AD16" s="3" t="s">
        <v>106</v>
      </c>
      <c r="AE16" s="3" t="s">
        <v>102</v>
      </c>
      <c r="AF16" s="3" t="s">
        <v>103</v>
      </c>
      <c r="AG16" s="3" t="s">
        <v>104</v>
      </c>
      <c r="AH16" s="3" t="s">
        <v>84</v>
      </c>
      <c r="AV16" s="103"/>
      <c r="AW16" s="103"/>
      <c r="BI16" s="103"/>
      <c r="BJ16" s="103"/>
    </row>
    <row r="17" spans="1:62" x14ac:dyDescent="0.2">
      <c r="A17" s="103"/>
      <c r="B17" s="105" t="s">
        <v>180</v>
      </c>
      <c r="C17" s="128" t="s">
        <v>172</v>
      </c>
      <c r="D17" s="27"/>
      <c r="E17" s="129" t="s">
        <v>9</v>
      </c>
      <c r="F17" s="10">
        <v>100</v>
      </c>
      <c r="G17" s="10">
        <v>100</v>
      </c>
      <c r="H17" s="10">
        <v>100</v>
      </c>
      <c r="I17" s="10">
        <v>100</v>
      </c>
      <c r="J17" s="10">
        <v>100</v>
      </c>
      <c r="K17" s="11"/>
      <c r="L17" s="28">
        <f xml:space="preserve"> ((($F$16/100)*F17)+(($G$16/100)*G17)+(($H$16/100)*H17)+(($I$16/100)*I17)+(($J$16/100)*J17)+($K$16/100)*K17)/($L$16/100)</f>
        <v>100</v>
      </c>
      <c r="M17" s="10">
        <v>100</v>
      </c>
      <c r="N17" s="10"/>
      <c r="O17" s="44">
        <v>100</v>
      </c>
      <c r="P17" s="1">
        <f>( (($F$16/100)*F17)+(($G$16/100)*G17)+(($H$16/100)*H17)+(($I$16/100)*I17)+(($J$16/100)*J17)+(($K$16/100)*K17)+(($M$16/100)*M17)+(($N$16/100)*N17)+(($O$16/100)*O17))/($P$16/100)</f>
        <v>100</v>
      </c>
      <c r="Q17" s="79"/>
      <c r="R17" s="67" t="e">
        <f>IF($J$6="SG",AI40,NA())</f>
        <v>#N/A</v>
      </c>
      <c r="S17" s="3">
        <f>37.5^0.45</f>
        <v>5.1087431744234335</v>
      </c>
      <c r="T17" s="4">
        <f t="shared" ref="T17:T29" si="0">IF($M$6="No. 4",AD17,IF($M$6="3/8",AE17,IF($M$6="1/2",AF17,IF($M$6="3/4",AG17,IF($M$6="1",AH17,"")))))</f>
        <v>100</v>
      </c>
      <c r="U17" s="4">
        <v>90</v>
      </c>
      <c r="V17" s="4">
        <v>100</v>
      </c>
      <c r="Y17" s="4" t="s">
        <v>92</v>
      </c>
      <c r="AC17" s="82" t="s">
        <v>112</v>
      </c>
      <c r="AD17" s="3">
        <v>100</v>
      </c>
      <c r="AE17" s="3">
        <v>100</v>
      </c>
      <c r="AF17" s="3">
        <v>100</v>
      </c>
      <c r="AG17" s="3">
        <v>100</v>
      </c>
      <c r="AH17" s="3">
        <v>100</v>
      </c>
      <c r="AJ17" s="88" t="s">
        <v>112</v>
      </c>
      <c r="AV17" s="103"/>
      <c r="AW17" s="103"/>
      <c r="BI17" s="103"/>
      <c r="BJ17" s="103"/>
    </row>
    <row r="18" spans="1:62" x14ac:dyDescent="0.2">
      <c r="A18" s="103"/>
      <c r="B18" s="105" t="s">
        <v>180</v>
      </c>
      <c r="C18" s="128">
        <v>1</v>
      </c>
      <c r="D18" s="27"/>
      <c r="E18" s="129" t="s">
        <v>10</v>
      </c>
      <c r="F18" s="10">
        <v>100</v>
      </c>
      <c r="G18" s="10">
        <v>100</v>
      </c>
      <c r="H18" s="10">
        <v>100</v>
      </c>
      <c r="I18" s="10">
        <v>100</v>
      </c>
      <c r="J18" s="10">
        <v>100</v>
      </c>
      <c r="K18" s="11"/>
      <c r="L18" s="28">
        <f t="shared" ref="L18:L28" si="1" xml:space="preserve"> ((($F$16/100)*F18)+(($G$16/100)*G18)+(($H$16/100)*H18)+(($I$16/100)*I18)+(($J$16/100)*J18)+($K$16/100)*K18)/($L$16/100)</f>
        <v>100</v>
      </c>
      <c r="M18" s="10">
        <v>100</v>
      </c>
      <c r="N18" s="10"/>
      <c r="O18" s="44">
        <v>100</v>
      </c>
      <c r="P18" s="1">
        <f t="shared" ref="P18:P28" si="2">( (($F$16/100)*F18)+(($G$16/100)*G18)+(($H$16/100)*H18)+(($I$16/100)*I18)+(($J$16/100)*J18)+(($K$16/100)*K18)+(($M$16/100)*M18)+(($N$16/100)*N18)+(($O$16/100)*O18))/($P$16/100)</f>
        <v>100</v>
      </c>
      <c r="Q18" s="80" t="e">
        <f>IF($J$6="SG",AH42,NA())</f>
        <v>#N/A</v>
      </c>
      <c r="R18" s="67" t="e">
        <f>IF($J$6="SG",AI42,IF($J$6="S",AK42,IF($J$6="SMA 3/4",AO42,NA())))</f>
        <v>#N/A</v>
      </c>
      <c r="S18" s="3">
        <f>25^0.45</f>
        <v>4.2566996126039234</v>
      </c>
      <c r="T18" s="4">
        <f t="shared" si="0"/>
        <v>100</v>
      </c>
      <c r="U18" s="4">
        <v>19</v>
      </c>
      <c r="V18" s="4">
        <v>45</v>
      </c>
      <c r="X18" s="4" t="s">
        <v>91</v>
      </c>
      <c r="Y18" s="4">
        <v>50</v>
      </c>
      <c r="Z18" s="4" t="s">
        <v>2</v>
      </c>
      <c r="AA18" s="4" t="s">
        <v>94</v>
      </c>
      <c r="AB18" s="34" t="s">
        <v>101</v>
      </c>
      <c r="AC18" s="82" t="s">
        <v>113</v>
      </c>
      <c r="AD18" s="3">
        <v>100</v>
      </c>
      <c r="AE18" s="3">
        <v>100</v>
      </c>
      <c r="AF18" s="3">
        <v>100</v>
      </c>
      <c r="AG18" s="3">
        <v>100</v>
      </c>
      <c r="AH18" s="3">
        <f>25^0.45</f>
        <v>4.2566996126039234</v>
      </c>
      <c r="AJ18" s="4">
        <v>1</v>
      </c>
      <c r="AV18" s="103"/>
      <c r="AW18" s="103"/>
      <c r="BI18" s="103"/>
      <c r="BJ18" s="103"/>
    </row>
    <row r="19" spans="1:62" x14ac:dyDescent="0.2">
      <c r="A19" s="103"/>
      <c r="B19" s="105" t="s">
        <v>180</v>
      </c>
      <c r="C19" s="128" t="s">
        <v>110</v>
      </c>
      <c r="D19" s="27"/>
      <c r="E19" s="129" t="s">
        <v>11</v>
      </c>
      <c r="F19" s="10">
        <v>100</v>
      </c>
      <c r="G19" s="10">
        <v>100</v>
      </c>
      <c r="H19" s="10">
        <v>100</v>
      </c>
      <c r="I19" s="10">
        <v>100</v>
      </c>
      <c r="J19" s="10">
        <v>100</v>
      </c>
      <c r="K19" s="11"/>
      <c r="L19" s="28">
        <f t="shared" si="1"/>
        <v>100</v>
      </c>
      <c r="M19" s="10">
        <v>100</v>
      </c>
      <c r="N19" s="10"/>
      <c r="O19" s="44">
        <v>100</v>
      </c>
      <c r="P19" s="1">
        <f t="shared" si="2"/>
        <v>100</v>
      </c>
      <c r="Q19" s="80" t="e">
        <f>IF($J$6="S",AJ43,IF($J$6="SMA 3/4",AN43,NA()))</f>
        <v>#N/A</v>
      </c>
      <c r="R19" s="67" t="e">
        <f>IF($J$6="S",AK43,IF($J$6="SX",AM43,IF($J$6="SMA 3/4",AO43,IF($J$6="SMA 1/2",AQ43,NA()))))</f>
        <v>#N/A</v>
      </c>
      <c r="S19" s="3">
        <f>19^0.45</f>
        <v>3.7621761023862978</v>
      </c>
      <c r="T19" s="4">
        <f t="shared" si="0"/>
        <v>100</v>
      </c>
      <c r="U19" s="4">
        <v>23</v>
      </c>
      <c r="V19" s="4">
        <v>49</v>
      </c>
      <c r="X19" s="4" t="s">
        <v>54</v>
      </c>
      <c r="Y19" s="4">
        <v>75</v>
      </c>
      <c r="Z19" s="4">
        <v>1</v>
      </c>
      <c r="AA19" s="34" t="s">
        <v>157</v>
      </c>
      <c r="AB19" s="34" t="s">
        <v>105</v>
      </c>
      <c r="AC19" s="82" t="s">
        <v>110</v>
      </c>
      <c r="AD19" s="3">
        <v>100</v>
      </c>
      <c r="AE19" s="3">
        <v>100</v>
      </c>
      <c r="AF19" s="3">
        <v>100</v>
      </c>
      <c r="AG19" s="3">
        <f>S19</f>
        <v>3.7621761023862978</v>
      </c>
      <c r="AH19" s="3">
        <f>S19</f>
        <v>3.7621761023862978</v>
      </c>
      <c r="AJ19" s="88" t="s">
        <v>110</v>
      </c>
      <c r="AV19" s="103"/>
      <c r="AW19" s="103"/>
      <c r="BI19" s="103"/>
      <c r="BJ19" s="103"/>
    </row>
    <row r="20" spans="1:62" x14ac:dyDescent="0.2">
      <c r="A20" s="103"/>
      <c r="B20" s="105" t="s">
        <v>180</v>
      </c>
      <c r="C20" s="128" t="s">
        <v>109</v>
      </c>
      <c r="D20" s="27"/>
      <c r="E20" s="129" t="s">
        <v>12</v>
      </c>
      <c r="F20" s="10">
        <v>86</v>
      </c>
      <c r="G20" s="10">
        <v>100</v>
      </c>
      <c r="H20" s="10">
        <v>100</v>
      </c>
      <c r="I20" s="10">
        <v>100</v>
      </c>
      <c r="J20" s="10">
        <v>100</v>
      </c>
      <c r="K20" s="11"/>
      <c r="L20" s="28">
        <f t="shared" si="1"/>
        <v>94.536585365853654</v>
      </c>
      <c r="M20" s="10">
        <v>100</v>
      </c>
      <c r="N20" s="10"/>
      <c r="O20" s="44">
        <v>100</v>
      </c>
      <c r="P20" s="1">
        <f t="shared" si="2"/>
        <v>95.52</v>
      </c>
      <c r="Q20" s="80" t="e">
        <f>IF($J$6="SX",AL44,IF($J$6="SMA 3/4",AN44,IF($J$6="SMA 1/2",AP44,NA())))</f>
        <v>#N/A</v>
      </c>
      <c r="R20" s="67">
        <f>IF($J$6="SMA 3/8",AS44,IF($J$6="SX",AM44,IF($J$6="SMA 3/4",AO44,IF($J$6="SMA 1/2",AQ44,IF($J$6="SMA No. 4",AU44,IF($J$6="ST",AW44,NA()))))))</f>
        <v>100</v>
      </c>
      <c r="S20" s="3">
        <f>12.5^0.45</f>
        <v>3.116086507375345</v>
      </c>
      <c r="T20" s="4">
        <f t="shared" si="0"/>
        <v>3.116086507375345</v>
      </c>
      <c r="U20" s="4">
        <v>28</v>
      </c>
      <c r="V20" s="4">
        <v>58</v>
      </c>
      <c r="X20" s="4" t="s">
        <v>82</v>
      </c>
      <c r="Y20" s="4">
        <v>100</v>
      </c>
      <c r="Z20" s="4">
        <v>2</v>
      </c>
      <c r="AA20" s="4" t="s">
        <v>95</v>
      </c>
      <c r="AB20" s="36" t="s">
        <v>108</v>
      </c>
      <c r="AC20" s="82" t="s">
        <v>109</v>
      </c>
      <c r="AD20" s="3">
        <v>100</v>
      </c>
      <c r="AE20" s="3">
        <v>100</v>
      </c>
      <c r="AF20" s="3">
        <f>12.5^0.45</f>
        <v>3.116086507375345</v>
      </c>
      <c r="AG20" s="3">
        <f>12.5^0.45</f>
        <v>3.116086507375345</v>
      </c>
      <c r="AH20" s="3">
        <f>12.5^0.45</f>
        <v>3.116086507375345</v>
      </c>
      <c r="AJ20" s="88" t="s">
        <v>109</v>
      </c>
      <c r="AV20" s="103"/>
      <c r="AW20" s="103"/>
      <c r="BI20" s="103"/>
      <c r="BJ20" s="103"/>
    </row>
    <row r="21" spans="1:62" x14ac:dyDescent="0.2">
      <c r="A21" s="103"/>
      <c r="B21" s="105" t="s">
        <v>180</v>
      </c>
      <c r="C21" s="128" t="s">
        <v>108</v>
      </c>
      <c r="D21" s="27"/>
      <c r="E21" s="129" t="s">
        <v>13</v>
      </c>
      <c r="F21" s="10">
        <v>52</v>
      </c>
      <c r="G21" s="10">
        <v>100</v>
      </c>
      <c r="H21" s="10">
        <v>100</v>
      </c>
      <c r="I21" s="10">
        <v>100</v>
      </c>
      <c r="J21" s="10">
        <v>100</v>
      </c>
      <c r="K21" s="11"/>
      <c r="L21" s="28">
        <f t="shared" si="1"/>
        <v>81.268292682926841</v>
      </c>
      <c r="M21" s="10">
        <v>98</v>
      </c>
      <c r="N21" s="10"/>
      <c r="O21" s="44">
        <v>100</v>
      </c>
      <c r="P21" s="1">
        <f t="shared" si="2"/>
        <v>84.34</v>
      </c>
      <c r="Q21" s="80">
        <f>IF($J$6="SMA 3/8",AR45,IF($J$6="SMA 3/4",AN45,IF($J$6="SMA 1/2",AP45,IF($J$6="ST",AV45,NA()))))</f>
        <v>90</v>
      </c>
      <c r="R21" s="67">
        <f>IF($J$6="SMA 3/8",AS45,IF($J$6="SMA 3/4",AO45,IF($J$6="SMA 1/2",AQ45,IF($J$6="SMA No. 4",AU45,IF($J$6="ST",AW45,IF($J$6="SF",BJ45,NA()))))))</f>
        <v>100</v>
      </c>
      <c r="S21" s="3">
        <f>9.5^0.45</f>
        <v>2.754074108566122</v>
      </c>
      <c r="T21" s="4">
        <f t="shared" si="0"/>
        <v>2.754074108566122</v>
      </c>
      <c r="U21" s="4">
        <v>1</v>
      </c>
      <c r="V21" s="4">
        <v>7</v>
      </c>
      <c r="X21" s="4" t="s">
        <v>83</v>
      </c>
      <c r="Y21" s="4">
        <v>125</v>
      </c>
      <c r="Z21" s="4">
        <v>3</v>
      </c>
      <c r="AA21" s="4" t="s">
        <v>96</v>
      </c>
      <c r="AB21" s="36" t="s">
        <v>109</v>
      </c>
      <c r="AC21" s="82" t="s">
        <v>108</v>
      </c>
      <c r="AD21" s="3">
        <v>100</v>
      </c>
      <c r="AE21" s="3">
        <f>9.5^0.45</f>
        <v>2.754074108566122</v>
      </c>
      <c r="AF21" s="3">
        <f>9.5^0.45</f>
        <v>2.754074108566122</v>
      </c>
      <c r="AG21" s="3">
        <f>9.5^0.45</f>
        <v>2.754074108566122</v>
      </c>
      <c r="AH21" s="3">
        <f>9.5^0.45</f>
        <v>2.754074108566122</v>
      </c>
      <c r="AJ21" s="88" t="s">
        <v>108</v>
      </c>
      <c r="AV21" s="103"/>
      <c r="AW21" s="103"/>
      <c r="BI21" s="103"/>
      <c r="BJ21" s="103"/>
    </row>
    <row r="22" spans="1:62" x14ac:dyDescent="0.2">
      <c r="A22" s="103"/>
      <c r="B22" s="105" t="s">
        <v>180</v>
      </c>
      <c r="C22" s="128" t="s">
        <v>173</v>
      </c>
      <c r="D22" s="27"/>
      <c r="E22" s="129" t="s">
        <v>14</v>
      </c>
      <c r="F22" s="10">
        <v>10</v>
      </c>
      <c r="G22" s="10">
        <v>90</v>
      </c>
      <c r="H22" s="10">
        <v>83</v>
      </c>
      <c r="I22" s="10">
        <v>100</v>
      </c>
      <c r="J22" s="10">
        <v>100</v>
      </c>
      <c r="K22" s="11"/>
      <c r="L22" s="28">
        <f t="shared" si="1"/>
        <v>60.487804878048784</v>
      </c>
      <c r="M22" s="10">
        <v>82</v>
      </c>
      <c r="N22" s="10"/>
      <c r="O22" s="44">
        <v>95</v>
      </c>
      <c r="P22" s="1">
        <f t="shared" si="2"/>
        <v>64.75</v>
      </c>
      <c r="Q22" s="80" t="e">
        <f>IF($J$6="SMA 3/8",AR46,IF($J$6="SMA 3/4",AN46,IF($J$6="SMA 1/2",AP46,IF($J$6="SMA No. 4",AT46,IF($J$6="SF",BI46,NA())))))</f>
        <v>#N/A</v>
      </c>
      <c r="R22" s="67" t="e">
        <f>IF($J$6="SMA 3/8",AS46,IF($J$6="SMA 3/4",AO46,IF($J$6="SMA 1/2",AQ46,IF($J$6="SMA No. 4",AU46,IF($J$6="SF",BJ46,NA())))))</f>
        <v>#N/A</v>
      </c>
      <c r="S22" s="3">
        <f>4.75^0.45</f>
        <v>2.0161002539629291</v>
      </c>
      <c r="T22" s="4">
        <f t="shared" si="0"/>
        <v>2.0161002539629291</v>
      </c>
      <c r="U22" s="4">
        <v>2</v>
      </c>
      <c r="V22" s="4">
        <v>8</v>
      </c>
      <c r="X22" s="34" t="s">
        <v>128</v>
      </c>
      <c r="Y22" s="34" t="s">
        <v>146</v>
      </c>
      <c r="Z22" s="4">
        <v>4</v>
      </c>
      <c r="AA22" s="4" t="s">
        <v>97</v>
      </c>
      <c r="AB22" s="37" t="s">
        <v>110</v>
      </c>
      <c r="AC22" s="82" t="s">
        <v>105</v>
      </c>
      <c r="AD22" s="3">
        <f>4.75^0.45</f>
        <v>2.0161002539629291</v>
      </c>
      <c r="AE22" s="3">
        <f>4.75^0.45</f>
        <v>2.0161002539629291</v>
      </c>
      <c r="AF22" s="3">
        <f>4.75^0.45</f>
        <v>2.0161002539629291</v>
      </c>
      <c r="AG22" s="3">
        <f>4.75^0.45</f>
        <v>2.0161002539629291</v>
      </c>
      <c r="AH22" s="3">
        <f>4.75^0.45</f>
        <v>2.0161002539629291</v>
      </c>
      <c r="AJ22" s="4" t="s">
        <v>173</v>
      </c>
      <c r="AV22" s="103"/>
      <c r="AW22" s="103"/>
      <c r="BI22" s="103"/>
      <c r="BJ22" s="103"/>
    </row>
    <row r="23" spans="1:62" x14ac:dyDescent="0.2">
      <c r="A23" s="103"/>
      <c r="B23" s="105" t="s">
        <v>180</v>
      </c>
      <c r="C23" s="128" t="s">
        <v>174</v>
      </c>
      <c r="D23" s="27"/>
      <c r="E23" s="129" t="s">
        <v>15</v>
      </c>
      <c r="F23" s="10">
        <v>7</v>
      </c>
      <c r="G23" s="10">
        <v>69</v>
      </c>
      <c r="H23" s="10">
        <v>28</v>
      </c>
      <c r="I23" s="10">
        <v>95</v>
      </c>
      <c r="J23" s="10">
        <v>100</v>
      </c>
      <c r="K23" s="11"/>
      <c r="L23" s="28">
        <f t="shared" si="1"/>
        <v>46.524390243902438</v>
      </c>
      <c r="M23" s="10">
        <v>67</v>
      </c>
      <c r="N23" s="10"/>
      <c r="O23" s="44">
        <v>93</v>
      </c>
      <c r="P23" s="1">
        <f t="shared" si="2"/>
        <v>50.989999999999995</v>
      </c>
      <c r="Q23" s="80">
        <f>IF($J$6="SMA 3/8",AR47,IF($J$6="SMA 3/4",AN47,IF($J$6="SMA 1/2",AP47,IF($J$6="SMA No. 4",AT47,IF($J$6="SG",AH47,IF($J$6="S",AJ47,IF($J$6="SX",AL47,IF($J$6="ST",AV47,NA()))))))))</f>
        <v>28</v>
      </c>
      <c r="R23" s="67">
        <f>IF($J$6="SMA 3/8",AS47,IF($J$6="SMA 3/4",AO47,IF($J$6="SMA 1/2",AQ47,IF($J$6="SMA No. 4",AU47,IF($J$6="SG",AI47,IF($J$6="S",AK47,IF($J$6="SX",AM47,IF($J$6="ST",AW47,NA()))))))))</f>
        <v>58</v>
      </c>
      <c r="S23" s="3">
        <f>2.36^0.45</f>
        <v>1.4716698795820382</v>
      </c>
      <c r="T23" s="4">
        <f t="shared" si="0"/>
        <v>1.4716698795820382</v>
      </c>
      <c r="V23" s="4">
        <v>10</v>
      </c>
      <c r="X23" s="34" t="s">
        <v>129</v>
      </c>
      <c r="Z23" s="4">
        <v>5</v>
      </c>
      <c r="AA23" s="4" t="s">
        <v>98</v>
      </c>
      <c r="AB23" s="37" t="s">
        <v>113</v>
      </c>
      <c r="AC23" s="82" t="s">
        <v>114</v>
      </c>
      <c r="AD23" s="3">
        <f>2.36^0.45</f>
        <v>1.4716698795820382</v>
      </c>
      <c r="AE23" s="3">
        <f>2.36^0.45</f>
        <v>1.4716698795820382</v>
      </c>
      <c r="AF23" s="3">
        <f>2.36^0.45</f>
        <v>1.4716698795820382</v>
      </c>
      <c r="AG23" s="3">
        <f>2.36^0.45</f>
        <v>1.4716698795820382</v>
      </c>
      <c r="AH23" s="3">
        <f>2.36^0.45</f>
        <v>1.4716698795820382</v>
      </c>
      <c r="AJ23" s="4" t="s">
        <v>174</v>
      </c>
      <c r="AV23" s="103"/>
      <c r="AW23" s="103"/>
      <c r="BI23" s="103"/>
      <c r="BJ23" s="103"/>
    </row>
    <row r="24" spans="1:62" x14ac:dyDescent="0.2">
      <c r="A24" s="103"/>
      <c r="B24" s="105" t="s">
        <v>180</v>
      </c>
      <c r="C24" s="128" t="s">
        <v>175</v>
      </c>
      <c r="D24" s="27"/>
      <c r="E24" s="129" t="s">
        <v>16</v>
      </c>
      <c r="F24" s="10">
        <v>6</v>
      </c>
      <c r="G24" s="10">
        <v>56</v>
      </c>
      <c r="H24" s="10">
        <v>4</v>
      </c>
      <c r="I24" s="10">
        <v>67</v>
      </c>
      <c r="J24" s="10">
        <v>100</v>
      </c>
      <c r="K24" s="11"/>
      <c r="L24" s="28">
        <f t="shared" si="1"/>
        <v>33.365853658536587</v>
      </c>
      <c r="M24" s="10">
        <v>52</v>
      </c>
      <c r="N24" s="10"/>
      <c r="O24" s="44">
        <v>72</v>
      </c>
      <c r="P24" s="1">
        <f t="shared" si="2"/>
        <v>37.319999999999993</v>
      </c>
      <c r="Q24" s="80" t="e">
        <f>IF($J$6="SMA No. 4",AT48,IF($J$6="SF",BI48,NA()))</f>
        <v>#N/A</v>
      </c>
      <c r="R24" s="67" t="e">
        <f>IF($J$6="SMA No. 4",AU48,IF($J$6="SF",BJ48,NA()))</f>
        <v>#N/A</v>
      </c>
      <c r="S24" s="3">
        <f>1.18^0.45</f>
        <v>1.0773254099250416</v>
      </c>
      <c r="T24" s="4">
        <f t="shared" si="0"/>
        <v>1.0773254099250416</v>
      </c>
      <c r="X24" s="34" t="s">
        <v>130</v>
      </c>
      <c r="Z24" s="4">
        <v>6</v>
      </c>
      <c r="AA24" s="4" t="s">
        <v>99</v>
      </c>
      <c r="AC24" s="82" t="s">
        <v>115</v>
      </c>
      <c r="AD24" s="3">
        <f>1.18^0.45</f>
        <v>1.0773254099250416</v>
      </c>
      <c r="AE24" s="3">
        <f>1.18^0.45</f>
        <v>1.0773254099250416</v>
      </c>
      <c r="AF24" s="3">
        <f>1.18^0.45</f>
        <v>1.0773254099250416</v>
      </c>
      <c r="AG24" s="3">
        <f>1.18^0.45</f>
        <v>1.0773254099250416</v>
      </c>
      <c r="AH24" s="3">
        <f>1.18^0.45</f>
        <v>1.0773254099250416</v>
      </c>
      <c r="AJ24" s="4" t="s">
        <v>175</v>
      </c>
      <c r="AV24" s="103"/>
      <c r="AW24" s="103"/>
      <c r="BI24" s="103"/>
      <c r="BJ24" s="103"/>
    </row>
    <row r="25" spans="1:62" x14ac:dyDescent="0.2">
      <c r="A25" s="103"/>
      <c r="B25" s="105" t="s">
        <v>180</v>
      </c>
      <c r="C25" s="128" t="s">
        <v>176</v>
      </c>
      <c r="D25" s="27"/>
      <c r="E25" s="129" t="s">
        <v>17</v>
      </c>
      <c r="F25" s="10">
        <v>6</v>
      </c>
      <c r="G25" s="10">
        <v>47</v>
      </c>
      <c r="H25" s="10">
        <v>1</v>
      </c>
      <c r="I25" s="10">
        <v>36</v>
      </c>
      <c r="J25" s="10">
        <v>100</v>
      </c>
      <c r="K25" s="11"/>
      <c r="L25" s="28">
        <f t="shared" si="1"/>
        <v>23.353658536585364</v>
      </c>
      <c r="M25" s="10">
        <v>38</v>
      </c>
      <c r="N25" s="10"/>
      <c r="O25" s="44">
        <v>53</v>
      </c>
      <c r="P25" s="1">
        <f t="shared" si="2"/>
        <v>26.439999999999998</v>
      </c>
      <c r="Q25" s="80" t="e">
        <f>IF($J$6="SMA 3/8",AR49,IF($J$6="SMA 3/4",AN49,IF($J$6="SMA 1/2",AP49,IF($J$6="SMA No. 4",AT49,NA()))))</f>
        <v>#N/A</v>
      </c>
      <c r="R25" s="67" t="e">
        <f>IF($J$6="SMA 3/8",AS49,IF($J$6="SMA 3/4",AO49,IF($J$6="SMA 1/2",AQ49,IF($J$6="SMA No. 4",AU49,NA()))))</f>
        <v>#N/A</v>
      </c>
      <c r="S25" s="3">
        <f>0.6^0.45</f>
        <v>0.79463568224020453</v>
      </c>
      <c r="T25" s="4">
        <f t="shared" si="0"/>
        <v>0.79463568224020453</v>
      </c>
      <c r="X25" s="34" t="s">
        <v>132</v>
      </c>
      <c r="Z25" s="34" t="s">
        <v>209</v>
      </c>
      <c r="AC25" s="82" t="s">
        <v>119</v>
      </c>
      <c r="AD25" s="3">
        <f>0.6^0.45</f>
        <v>0.79463568224020453</v>
      </c>
      <c r="AE25" s="3">
        <f>0.6^0.45</f>
        <v>0.79463568224020453</v>
      </c>
      <c r="AF25" s="3">
        <f>0.6^0.45</f>
        <v>0.79463568224020453</v>
      </c>
      <c r="AG25" s="3">
        <f>0.6^0.45</f>
        <v>0.79463568224020453</v>
      </c>
      <c r="AH25" s="3">
        <f>0.6^0.45</f>
        <v>0.79463568224020453</v>
      </c>
      <c r="AJ25" s="4" t="s">
        <v>176</v>
      </c>
      <c r="AV25" s="103"/>
      <c r="AW25" s="103"/>
      <c r="BI25" s="103"/>
      <c r="BJ25" s="103"/>
    </row>
    <row r="26" spans="1:62" x14ac:dyDescent="0.2">
      <c r="A26" s="103"/>
      <c r="B26" s="105" t="s">
        <v>180</v>
      </c>
      <c r="C26" s="128" t="s">
        <v>177</v>
      </c>
      <c r="D26" s="27"/>
      <c r="E26" s="129" t="s">
        <v>18</v>
      </c>
      <c r="F26" s="10">
        <v>5</v>
      </c>
      <c r="G26" s="10">
        <v>36</v>
      </c>
      <c r="H26" s="10">
        <v>1</v>
      </c>
      <c r="I26" s="10">
        <v>16</v>
      </c>
      <c r="J26" s="10">
        <v>100</v>
      </c>
      <c r="K26" s="11"/>
      <c r="L26" s="28">
        <f t="shared" si="1"/>
        <v>15.536585365853657</v>
      </c>
      <c r="M26" s="10">
        <v>26</v>
      </c>
      <c r="N26" s="10"/>
      <c r="O26" s="44">
        <v>45</v>
      </c>
      <c r="P26" s="1">
        <f t="shared" si="2"/>
        <v>17.989999999999998</v>
      </c>
      <c r="Q26" s="80" t="e">
        <f>IF($J$6="SMA 3/8",AR50,IF($J$6="SMA No. 4",AT50,NA()))</f>
        <v>#N/A</v>
      </c>
      <c r="R26" s="67" t="e">
        <f>IF($J$6="SMA 3/8",AS50,IF($J$6="SMA No. 4",AU50,NA()))</f>
        <v>#N/A</v>
      </c>
      <c r="S26" s="3">
        <f>0.3^0.45</f>
        <v>0.58170736792793831</v>
      </c>
      <c r="T26" s="4">
        <f t="shared" si="0"/>
        <v>0.58170736792793831</v>
      </c>
      <c r="X26" s="34" t="s">
        <v>243</v>
      </c>
      <c r="AC26" s="82" t="s">
        <v>116</v>
      </c>
      <c r="AD26" s="3">
        <f>0.3^0.45</f>
        <v>0.58170736792793831</v>
      </c>
      <c r="AE26" s="3">
        <f>0.3^0.45</f>
        <v>0.58170736792793831</v>
      </c>
      <c r="AF26" s="3">
        <f>0.3^0.45</f>
        <v>0.58170736792793831</v>
      </c>
      <c r="AG26" s="3">
        <f>0.3^0.45</f>
        <v>0.58170736792793831</v>
      </c>
      <c r="AH26" s="3">
        <f>0.3^0.45</f>
        <v>0.58170736792793831</v>
      </c>
      <c r="AJ26" s="4" t="s">
        <v>177</v>
      </c>
      <c r="AV26" s="103"/>
      <c r="AW26" s="103"/>
      <c r="BI26" s="103"/>
      <c r="BJ26" s="103"/>
    </row>
    <row r="27" spans="1:62" x14ac:dyDescent="0.2">
      <c r="A27" s="103"/>
      <c r="B27" s="105" t="s">
        <v>180</v>
      </c>
      <c r="C27" s="128" t="s">
        <v>178</v>
      </c>
      <c r="D27" s="27"/>
      <c r="E27" s="129" t="s">
        <v>19</v>
      </c>
      <c r="F27" s="10">
        <v>4</v>
      </c>
      <c r="G27" s="10">
        <v>23</v>
      </c>
      <c r="H27" s="10">
        <v>1</v>
      </c>
      <c r="I27" s="10">
        <v>5</v>
      </c>
      <c r="J27" s="10">
        <v>98</v>
      </c>
      <c r="K27" s="11"/>
      <c r="L27" s="28">
        <f t="shared" si="1"/>
        <v>9.4268292682926838</v>
      </c>
      <c r="M27" s="10">
        <v>16</v>
      </c>
      <c r="N27" s="10"/>
      <c r="O27" s="44">
        <v>33</v>
      </c>
      <c r="P27" s="1">
        <f t="shared" si="2"/>
        <v>11.120000000000001</v>
      </c>
      <c r="Q27" s="80"/>
      <c r="R27" s="67"/>
      <c r="S27" s="3">
        <f>0.15^0.45</f>
        <v>0.42583471830473674</v>
      </c>
      <c r="T27" s="4">
        <f t="shared" si="0"/>
        <v>0.42583471830473674</v>
      </c>
      <c r="X27" s="34" t="s">
        <v>244</v>
      </c>
      <c r="AC27" s="82" t="s">
        <v>117</v>
      </c>
      <c r="AD27" s="3">
        <f>0.15^0.45</f>
        <v>0.42583471830473674</v>
      </c>
      <c r="AE27" s="3">
        <f>0.15^0.45</f>
        <v>0.42583471830473674</v>
      </c>
      <c r="AF27" s="3">
        <f>0.15^0.45</f>
        <v>0.42583471830473674</v>
      </c>
      <c r="AG27" s="3">
        <f>0.15^0.45</f>
        <v>0.42583471830473674</v>
      </c>
      <c r="AH27" s="3">
        <f>0.15^0.45</f>
        <v>0.42583471830473674</v>
      </c>
      <c r="AJ27" s="4" t="s">
        <v>178</v>
      </c>
      <c r="AV27" s="103"/>
      <c r="AW27" s="103"/>
      <c r="BI27" s="103"/>
      <c r="BJ27" s="103"/>
    </row>
    <row r="28" spans="1:62" ht="13.5" thickBot="1" x14ac:dyDescent="0.25">
      <c r="A28" s="103"/>
      <c r="B28" s="113" t="s">
        <v>180</v>
      </c>
      <c r="C28" s="130" t="s">
        <v>179</v>
      </c>
      <c r="D28" s="47"/>
      <c r="E28" s="131" t="s">
        <v>20</v>
      </c>
      <c r="F28" s="12">
        <v>2.8</v>
      </c>
      <c r="G28" s="12">
        <v>12</v>
      </c>
      <c r="H28" s="12">
        <v>0.2</v>
      </c>
      <c r="I28" s="12">
        <v>1.8</v>
      </c>
      <c r="J28" s="12">
        <v>97</v>
      </c>
      <c r="K28" s="13"/>
      <c r="L28" s="58">
        <f t="shared" si="1"/>
        <v>5.5195121951219512</v>
      </c>
      <c r="M28" s="12">
        <v>9.6999999999999993</v>
      </c>
      <c r="N28" s="12"/>
      <c r="O28" s="45">
        <v>24.8</v>
      </c>
      <c r="P28" s="2">
        <f t="shared" si="2"/>
        <v>6.7249999999999996</v>
      </c>
      <c r="Q28" s="81">
        <f>IF($J$6="SMA 3/8",AR52,IF($J$6="SMA 3/4",AN52,IF($J$6="SMA 1/2",AP52,IF($J$6="SMA No. 4",AT52,IF($J$6="SG",AH52,IF($J$6="S",AJ52,IF($J$6="SX",AL52,IF($J$6="ST",AV52,IF($J$6="SF",BI52,NA())))))))))</f>
        <v>2</v>
      </c>
      <c r="R28" s="68">
        <f>IF($J$6="SMA 3/8",AS52,IF($J$6="SMA 3/4",AO52,IF($J$6="SMA 1/2",AQ52,IF($J$6="SMA No. 4",AU52,IF($J$6="SG",AI52,IF($J$6="S",AK52,IF($J$6="SX",AM52,IF($J$6="ST",AW52,IF($J$6="SF",BJ52,NA())))))))))</f>
        <v>10</v>
      </c>
      <c r="S28" s="3">
        <f>0.075^0.45</f>
        <v>0.31172925995349998</v>
      </c>
      <c r="T28" s="4">
        <f t="shared" si="0"/>
        <v>0.31172925995349998</v>
      </c>
      <c r="AC28" s="82" t="s">
        <v>118</v>
      </c>
      <c r="AD28" s="3">
        <f>0.075^0.45</f>
        <v>0.31172925995349998</v>
      </c>
      <c r="AE28" s="3">
        <f>0.075^0.45</f>
        <v>0.31172925995349998</v>
      </c>
      <c r="AF28" s="3">
        <f>0.075^0.45</f>
        <v>0.31172925995349998</v>
      </c>
      <c r="AG28" s="3">
        <f>0.075^0.45</f>
        <v>0.31172925995349998</v>
      </c>
      <c r="AH28" s="3">
        <f>0.075^0.45</f>
        <v>0.31172925995349998</v>
      </c>
      <c r="AJ28" s="4" t="s">
        <v>179</v>
      </c>
      <c r="AV28" s="103"/>
      <c r="AW28" s="103"/>
      <c r="BI28" s="103"/>
      <c r="BJ28" s="103"/>
    </row>
    <row r="29" spans="1:62" x14ac:dyDescent="0.2">
      <c r="A29" s="103"/>
      <c r="B29" s="105" t="s">
        <v>71</v>
      </c>
      <c r="C29" s="27"/>
      <c r="D29" s="27"/>
      <c r="E29" s="129"/>
      <c r="F29" s="14" t="s">
        <v>262</v>
      </c>
      <c r="G29" s="14" t="s">
        <v>262</v>
      </c>
      <c r="H29" s="14" t="s">
        <v>262</v>
      </c>
      <c r="I29" s="8"/>
      <c r="J29" s="8" t="s">
        <v>262</v>
      </c>
      <c r="K29" s="8"/>
      <c r="L29" s="70"/>
      <c r="M29" s="8"/>
      <c r="N29" s="8"/>
      <c r="O29" s="46"/>
      <c r="P29" s="132"/>
      <c r="Q29" s="133"/>
      <c r="R29" s="134" t="s">
        <v>32</v>
      </c>
      <c r="S29" s="3">
        <v>0</v>
      </c>
      <c r="T29" s="4">
        <f t="shared" si="0"/>
        <v>0</v>
      </c>
      <c r="AC29" s="3">
        <v>0</v>
      </c>
      <c r="AV29" s="103"/>
      <c r="AW29" s="103"/>
      <c r="BI29" s="103"/>
      <c r="BJ29" s="103"/>
    </row>
    <row r="30" spans="1:62" x14ac:dyDescent="0.2">
      <c r="A30" s="103"/>
      <c r="B30" s="105" t="s">
        <v>75</v>
      </c>
      <c r="C30" s="27"/>
      <c r="D30" s="27"/>
      <c r="E30" s="27"/>
      <c r="F30" s="15">
        <v>2.766</v>
      </c>
      <c r="G30" s="15">
        <v>2.8079999999999998</v>
      </c>
      <c r="H30" s="15">
        <v>2.613</v>
      </c>
      <c r="I30" s="15">
        <v>2.6080000000000001</v>
      </c>
      <c r="J30" s="15">
        <v>2.38</v>
      </c>
      <c r="K30" s="15"/>
      <c r="L30" s="31"/>
      <c r="M30" s="163">
        <f>IF(M11=$U$11,IF(M31=""," ",(100*$P$36*M31)/((0.61*M31)+100*$P$36)),IF(OR(M11=$U$12,M11=$U$13),M31," "))</f>
        <v>2.661421388028423</v>
      </c>
      <c r="N30" s="163" t="str">
        <f t="shared" ref="N30:O30" si="3">IF(N11=$U$11,IF(N31=""," ",(100*$P$36*N31)/((0.61*N31)+100*$P$36)),IF(OR(N11=$U$12,N11=$U$13),N31," "))</f>
        <v xml:space="preserve"> </v>
      </c>
      <c r="O30" s="163">
        <f t="shared" si="3"/>
        <v>2.754</v>
      </c>
      <c r="P30" s="163">
        <f>BH30</f>
        <v>2.7044025504910798</v>
      </c>
      <c r="Q30" s="129"/>
      <c r="R30" s="104"/>
      <c r="S30" s="3"/>
      <c r="T30" s="3"/>
      <c r="V30" s="4">
        <v>0</v>
      </c>
      <c r="AV30" s="103"/>
      <c r="AW30" s="103"/>
      <c r="AX30" s="158">
        <f>IF(F30&gt;1,F16/F30," ")</f>
        <v>11.569052783803325</v>
      </c>
      <c r="AY30" s="158">
        <f t="shared" ref="AY30:BC30" si="4">IF(G30&gt;1,G16/G30," ")</f>
        <v>6.7663817663817669</v>
      </c>
      <c r="AZ30" s="158">
        <f t="shared" si="4"/>
        <v>3.8270187523918868</v>
      </c>
      <c r="BA30" s="158">
        <f t="shared" si="4"/>
        <v>7.6687116564417179</v>
      </c>
      <c r="BB30" s="158">
        <f t="shared" si="4"/>
        <v>0.42016806722689076</v>
      </c>
      <c r="BC30" s="158" t="str">
        <f t="shared" si="4"/>
        <v xml:space="preserve"> </v>
      </c>
      <c r="BD30" s="103"/>
      <c r="BE30" s="158">
        <f>IF(M30&lt;&gt;" ",M16/M30,"")</f>
        <v>5.6360860656913774</v>
      </c>
      <c r="BF30" s="158" t="str">
        <f>IF(N30&lt;&gt;" ",N16/N30,"")</f>
        <v/>
      </c>
      <c r="BG30" s="158">
        <f>IF(O30&lt;&gt;" ",O16/O30,"")</f>
        <v>1.0893246187363834</v>
      </c>
      <c r="BH30" s="164">
        <f>P16/SUM(AX30:BG30)</f>
        <v>2.7044025504910798</v>
      </c>
      <c r="BI30" s="103"/>
      <c r="BJ30" s="103"/>
    </row>
    <row r="31" spans="1:62" x14ac:dyDescent="0.2">
      <c r="A31" s="103"/>
      <c r="B31" s="105" t="s">
        <v>77</v>
      </c>
      <c r="C31" s="27"/>
      <c r="D31" s="27"/>
      <c r="E31" s="27"/>
      <c r="F31" s="15">
        <v>2.8159999999999998</v>
      </c>
      <c r="G31" s="15">
        <v>2.8610000000000002</v>
      </c>
      <c r="H31" s="15">
        <v>2.69</v>
      </c>
      <c r="I31" s="15">
        <v>2.64</v>
      </c>
      <c r="J31" s="15">
        <v>2.38</v>
      </c>
      <c r="K31" s="15"/>
      <c r="L31" s="31"/>
      <c r="M31" s="15">
        <v>2.7040000000000002</v>
      </c>
      <c r="N31" s="15"/>
      <c r="O31" s="42">
        <v>2.754</v>
      </c>
      <c r="P31" s="15">
        <v>2.7509999999999999</v>
      </c>
      <c r="Q31" s="129"/>
      <c r="R31" s="104"/>
      <c r="S31" s="3"/>
      <c r="T31" s="3"/>
      <c r="AV31" s="103"/>
      <c r="AW31" s="103"/>
      <c r="BI31" s="103"/>
      <c r="BJ31" s="103"/>
    </row>
    <row r="32" spans="1:62" x14ac:dyDescent="0.2">
      <c r="A32" s="103"/>
      <c r="B32" s="105" t="s">
        <v>80</v>
      </c>
      <c r="C32" s="27"/>
      <c r="D32" s="27"/>
      <c r="E32" s="27"/>
      <c r="F32" s="16">
        <v>6.0000000000000001E-3</v>
      </c>
      <c r="G32" s="16">
        <v>7.0000000000000001E-3</v>
      </c>
      <c r="H32" s="16">
        <v>1.0999999999999999E-2</v>
      </c>
      <c r="I32" s="16">
        <v>5.0000000000000001E-3</v>
      </c>
      <c r="J32" s="16"/>
      <c r="K32" s="16"/>
      <c r="L32" s="135"/>
      <c r="M32" s="16"/>
      <c r="N32" s="16"/>
      <c r="O32" s="42"/>
      <c r="P32" s="15">
        <v>0.7</v>
      </c>
      <c r="Q32" s="129"/>
      <c r="R32" s="104"/>
      <c r="S32" s="3"/>
      <c r="T32" s="3"/>
      <c r="AV32" s="103"/>
      <c r="AW32" s="103"/>
      <c r="BI32" s="103"/>
      <c r="BJ32" s="103"/>
    </row>
    <row r="33" spans="1:62" x14ac:dyDescent="0.2">
      <c r="A33" s="103"/>
      <c r="B33" s="105" t="s">
        <v>76</v>
      </c>
      <c r="C33" s="27"/>
      <c r="D33" s="27"/>
      <c r="E33" s="27"/>
      <c r="F33" s="55" t="s">
        <v>22</v>
      </c>
      <c r="G33" s="55"/>
      <c r="H33" s="55"/>
      <c r="I33" s="55"/>
      <c r="J33" s="55"/>
      <c r="K33" s="55"/>
      <c r="L33" s="55"/>
      <c r="M33" s="55"/>
      <c r="N33" s="55"/>
      <c r="O33" s="70"/>
      <c r="P33" s="31">
        <f>(100-$G$49)/((100/$E$49)-($G$49/$P$36))</f>
        <v>2.7243735341151387</v>
      </c>
      <c r="Q33" s="129"/>
      <c r="R33" s="104"/>
      <c r="S33" s="3"/>
      <c r="T33" s="3"/>
      <c r="AV33" s="103"/>
      <c r="AW33" s="103"/>
      <c r="BI33" s="103"/>
      <c r="BJ33" s="103"/>
    </row>
    <row r="34" spans="1:62" x14ac:dyDescent="0.2">
      <c r="A34" s="103"/>
      <c r="B34" s="105" t="s">
        <v>78</v>
      </c>
      <c r="C34" s="27"/>
      <c r="D34" s="27"/>
      <c r="E34" s="27"/>
      <c r="F34" s="55" t="s">
        <v>22</v>
      </c>
      <c r="G34" s="55"/>
      <c r="H34" s="55"/>
      <c r="I34" s="55"/>
      <c r="J34" s="55"/>
      <c r="K34" s="55"/>
      <c r="L34" s="55"/>
      <c r="M34" s="55"/>
      <c r="N34" s="55"/>
      <c r="O34" s="111"/>
      <c r="P34" s="15">
        <v>2.6869999999999998</v>
      </c>
      <c r="Q34" s="129"/>
      <c r="R34" s="104"/>
      <c r="S34" s="3"/>
      <c r="T34" s="3"/>
      <c r="AV34" s="103"/>
      <c r="AW34" s="103"/>
      <c r="BI34" s="103"/>
      <c r="BJ34" s="103"/>
    </row>
    <row r="35" spans="1:62" x14ac:dyDescent="0.2">
      <c r="A35" s="103"/>
      <c r="B35" s="105" t="s">
        <v>79</v>
      </c>
      <c r="C35" s="27"/>
      <c r="D35" s="27"/>
      <c r="E35" s="27"/>
      <c r="F35" s="55"/>
      <c r="G35" s="55"/>
      <c r="H35" s="55"/>
      <c r="I35" s="55"/>
      <c r="J35" s="55"/>
      <c r="K35" s="55"/>
      <c r="L35" s="55"/>
      <c r="M35" s="55"/>
      <c r="N35" s="55"/>
      <c r="O35" s="111"/>
      <c r="P35" s="15">
        <v>2.7549999999999999</v>
      </c>
      <c r="Q35" s="129"/>
      <c r="R35" s="104"/>
      <c r="S35" s="3"/>
      <c r="T35" s="3"/>
      <c r="AV35" s="103"/>
      <c r="AW35" s="158"/>
      <c r="BI35" s="103"/>
      <c r="BJ35" s="103"/>
    </row>
    <row r="36" spans="1:62" x14ac:dyDescent="0.2">
      <c r="A36" s="103"/>
      <c r="B36" s="105" t="s">
        <v>86</v>
      </c>
      <c r="C36" s="27"/>
      <c r="D36" s="27"/>
      <c r="E36" s="27"/>
      <c r="F36" s="27"/>
      <c r="G36" s="27"/>
      <c r="H36" s="27"/>
      <c r="I36" s="27"/>
      <c r="J36" s="55"/>
      <c r="K36" s="55"/>
      <c r="L36" s="55"/>
      <c r="M36" s="55"/>
      <c r="N36" s="55"/>
      <c r="O36" s="111"/>
      <c r="P36" s="15">
        <v>1.0309999999999999</v>
      </c>
      <c r="Q36" s="129"/>
      <c r="R36" s="104"/>
      <c r="S36" s="3"/>
      <c r="T36" s="3"/>
      <c r="AV36" s="103"/>
      <c r="AW36" s="24"/>
      <c r="BI36" s="103"/>
      <c r="BJ36" s="103"/>
    </row>
    <row r="37" spans="1:62" x14ac:dyDescent="0.2">
      <c r="A37" s="103"/>
      <c r="B37" s="105" t="s">
        <v>72</v>
      </c>
      <c r="C37" s="27"/>
      <c r="D37" s="27"/>
      <c r="E37" s="27"/>
      <c r="F37" s="27"/>
      <c r="G37" s="111"/>
      <c r="H37" s="27"/>
      <c r="I37" s="27"/>
      <c r="J37" s="55"/>
      <c r="K37" s="55"/>
      <c r="L37" s="55"/>
      <c r="M37" s="55"/>
      <c r="N37" s="55"/>
      <c r="O37" s="111"/>
      <c r="P37" s="17">
        <v>1</v>
      </c>
      <c r="Q37" s="129"/>
      <c r="R37" s="75" t="s">
        <v>193</v>
      </c>
      <c r="S37" s="3"/>
      <c r="T37" s="3"/>
      <c r="AH37" s="34" t="s">
        <v>127</v>
      </c>
      <c r="AV37" s="103"/>
      <c r="AW37" s="24"/>
      <c r="BI37" s="103"/>
      <c r="BJ37" s="103"/>
    </row>
    <row r="38" spans="1:62" x14ac:dyDescent="0.2">
      <c r="A38" s="103"/>
      <c r="B38" s="105" t="s">
        <v>168</v>
      </c>
      <c r="C38" s="27"/>
      <c r="D38" s="27"/>
      <c r="E38" s="27"/>
      <c r="F38" s="27"/>
      <c r="G38" s="111"/>
      <c r="H38" s="55" t="s">
        <v>22</v>
      </c>
      <c r="I38" s="27"/>
      <c r="J38" s="55"/>
      <c r="K38" s="55"/>
      <c r="L38" s="55"/>
      <c r="M38" s="55"/>
      <c r="N38" s="55"/>
      <c r="O38" s="111"/>
      <c r="P38" s="8">
        <v>78</v>
      </c>
      <c r="Q38" s="136" t="s">
        <v>63</v>
      </c>
      <c r="R38" s="57" t="s">
        <v>59</v>
      </c>
      <c r="S38" s="3"/>
      <c r="T38" s="3"/>
      <c r="Z38" s="34" t="s">
        <v>126</v>
      </c>
      <c r="AA38" s="4" t="s">
        <v>120</v>
      </c>
      <c r="AB38" s="4" t="s">
        <v>121</v>
      </c>
      <c r="AC38" s="4" t="s">
        <v>122</v>
      </c>
      <c r="AD38" s="4" t="s">
        <v>123</v>
      </c>
      <c r="AH38" s="188" t="s">
        <v>83</v>
      </c>
      <c r="AI38" s="188"/>
      <c r="AJ38" s="188" t="s">
        <v>82</v>
      </c>
      <c r="AK38" s="188"/>
      <c r="AL38" s="188" t="s">
        <v>54</v>
      </c>
      <c r="AM38" s="188"/>
      <c r="AN38" s="188" t="s">
        <v>128</v>
      </c>
      <c r="AO38" s="188"/>
      <c r="AP38" s="188" t="s">
        <v>129</v>
      </c>
      <c r="AQ38" s="188"/>
      <c r="AR38" s="188" t="s">
        <v>130</v>
      </c>
      <c r="AS38" s="188"/>
      <c r="AT38" s="188" t="s">
        <v>131</v>
      </c>
      <c r="AU38" s="188"/>
      <c r="AV38" s="190" t="s">
        <v>243</v>
      </c>
      <c r="AW38" s="191"/>
      <c r="BI38" s="190" t="s">
        <v>244</v>
      </c>
      <c r="BJ38" s="191"/>
    </row>
    <row r="39" spans="1:62" x14ac:dyDescent="0.2">
      <c r="A39" s="103"/>
      <c r="B39" s="105" t="s">
        <v>73</v>
      </c>
      <c r="C39" s="27"/>
      <c r="D39" s="27"/>
      <c r="E39" s="27"/>
      <c r="F39" s="43">
        <v>29</v>
      </c>
      <c r="G39" s="77"/>
      <c r="H39" s="43"/>
      <c r="I39" s="43"/>
      <c r="J39" s="43"/>
      <c r="K39" s="43"/>
      <c r="L39" s="55"/>
      <c r="M39" s="55"/>
      <c r="N39" s="55"/>
      <c r="O39" s="111"/>
      <c r="P39" s="70"/>
      <c r="Q39" s="129"/>
      <c r="R39" s="57" t="str">
        <f>IF($J$6="SMA 3/4","30 max",IF($J$6="SMA 1/2","30 max",IF($J$6="SMA 3/8","30 max",IF($J$6="SMA No. 4","30 max","45 max"))))</f>
        <v>45 max</v>
      </c>
      <c r="S39" s="3"/>
      <c r="T39" s="3"/>
      <c r="U39" s="3" t="s">
        <v>192</v>
      </c>
      <c r="AE39" s="34" t="s">
        <v>210</v>
      </c>
      <c r="AH39" s="34" t="s">
        <v>133</v>
      </c>
      <c r="AI39" s="34" t="s">
        <v>134</v>
      </c>
      <c r="AJ39" s="34" t="s">
        <v>133</v>
      </c>
      <c r="AK39" s="34" t="s">
        <v>134</v>
      </c>
      <c r="AL39" s="34" t="s">
        <v>133</v>
      </c>
      <c r="AM39" s="34" t="s">
        <v>134</v>
      </c>
      <c r="AN39" s="34" t="s">
        <v>133</v>
      </c>
      <c r="AO39" s="34" t="s">
        <v>134</v>
      </c>
      <c r="AP39" s="34" t="s">
        <v>133</v>
      </c>
      <c r="AQ39" s="34" t="s">
        <v>134</v>
      </c>
      <c r="AR39" s="34" t="s">
        <v>133</v>
      </c>
      <c r="AS39" s="34" t="s">
        <v>134</v>
      </c>
      <c r="AT39" s="34" t="s">
        <v>133</v>
      </c>
      <c r="AU39" s="34" t="s">
        <v>134</v>
      </c>
      <c r="AV39" s="34" t="s">
        <v>133</v>
      </c>
      <c r="AW39" s="34" t="s">
        <v>134</v>
      </c>
      <c r="BI39" s="158" t="s">
        <v>133</v>
      </c>
      <c r="BJ39" s="158" t="s">
        <v>134</v>
      </c>
    </row>
    <row r="40" spans="1:62" x14ac:dyDescent="0.2">
      <c r="A40" s="103"/>
      <c r="B40" s="105" t="s">
        <v>169</v>
      </c>
      <c r="C40" s="27"/>
      <c r="D40" s="27"/>
      <c r="E40" s="27"/>
      <c r="F40" s="27"/>
      <c r="G40" s="111"/>
      <c r="H40" s="55" t="s">
        <v>22</v>
      </c>
      <c r="I40" s="27"/>
      <c r="J40" s="55"/>
      <c r="K40" s="55"/>
      <c r="L40" s="55"/>
      <c r="M40" s="55"/>
      <c r="N40" s="55"/>
      <c r="O40" s="111"/>
      <c r="P40" s="8">
        <v>46.2</v>
      </c>
      <c r="Q40" s="129"/>
      <c r="R40" s="137" t="s">
        <v>87</v>
      </c>
      <c r="S40" s="3"/>
      <c r="T40" s="3"/>
      <c r="U40" s="3" t="s">
        <v>193</v>
      </c>
      <c r="X40" s="82" t="s">
        <v>112</v>
      </c>
      <c r="Y40" s="3">
        <f>37.5^0.45</f>
        <v>5.1087431744234335</v>
      </c>
      <c r="AE40" s="38" t="s">
        <v>124</v>
      </c>
      <c r="AF40" s="39" t="s">
        <v>125</v>
      </c>
      <c r="AG40" s="89" t="s">
        <v>112</v>
      </c>
      <c r="AI40" s="4">
        <v>100</v>
      </c>
      <c r="AV40" s="103"/>
      <c r="AW40" s="103"/>
      <c r="BI40" s="103"/>
      <c r="BJ40" s="103"/>
    </row>
    <row r="41" spans="1:62" x14ac:dyDescent="0.2">
      <c r="A41" s="103"/>
      <c r="B41" s="105" t="s">
        <v>145</v>
      </c>
      <c r="C41" s="27"/>
      <c r="D41" s="27"/>
      <c r="E41" s="27"/>
      <c r="F41" s="27"/>
      <c r="G41" s="111"/>
      <c r="H41" s="55"/>
      <c r="I41" s="27"/>
      <c r="J41" s="55"/>
      <c r="K41" s="55"/>
      <c r="L41" s="55"/>
      <c r="M41" s="55"/>
      <c r="N41" s="55"/>
      <c r="O41" s="111"/>
      <c r="P41" s="8"/>
      <c r="Q41" s="129"/>
      <c r="R41" s="137" t="s">
        <v>199</v>
      </c>
      <c r="S41" s="3"/>
      <c r="T41" s="3"/>
      <c r="U41" s="3" t="s">
        <v>194</v>
      </c>
      <c r="X41" s="82"/>
      <c r="Y41" s="3"/>
      <c r="AE41" s="38"/>
      <c r="AF41" s="39"/>
      <c r="AG41" s="90"/>
      <c r="AV41" s="103"/>
      <c r="AW41" s="103"/>
      <c r="BI41" s="103"/>
      <c r="BJ41" s="103"/>
    </row>
    <row r="42" spans="1:62" x14ac:dyDescent="0.2">
      <c r="A42" s="103"/>
      <c r="B42" s="138" t="s">
        <v>167</v>
      </c>
      <c r="C42" s="27"/>
      <c r="D42" s="27"/>
      <c r="E42" s="27"/>
      <c r="F42" s="27"/>
      <c r="G42" s="111"/>
      <c r="H42" s="55"/>
      <c r="I42" s="27"/>
      <c r="J42" s="55"/>
      <c r="K42" s="55"/>
      <c r="L42" s="8">
        <v>15.5</v>
      </c>
      <c r="M42" s="55"/>
      <c r="N42" s="55"/>
      <c r="O42" s="111"/>
      <c r="P42" s="103"/>
      <c r="Q42" s="129"/>
      <c r="R42" s="137" t="s">
        <v>198</v>
      </c>
      <c r="S42" s="3"/>
      <c r="T42" s="3"/>
      <c r="U42" s="3" t="s">
        <v>195</v>
      </c>
      <c r="X42" s="82"/>
      <c r="Y42" s="3"/>
      <c r="AE42" s="38"/>
      <c r="AF42" s="39"/>
      <c r="AG42" s="91" t="s">
        <v>113</v>
      </c>
      <c r="AH42" s="4">
        <v>90</v>
      </c>
      <c r="AI42" s="4">
        <v>100</v>
      </c>
      <c r="AK42" s="4">
        <v>100</v>
      </c>
      <c r="AO42" s="4">
        <v>100</v>
      </c>
      <c r="AV42" s="103"/>
      <c r="AW42" s="103"/>
      <c r="BI42" s="103"/>
      <c r="BJ42" s="103"/>
    </row>
    <row r="43" spans="1:62" ht="13.5" thickBot="1" x14ac:dyDescent="0.25">
      <c r="A43" s="103"/>
      <c r="B43" s="139"/>
      <c r="C43" s="78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47" t="s">
        <v>266</v>
      </c>
      <c r="P43" s="140"/>
      <c r="Q43" s="114"/>
      <c r="R43" s="141"/>
      <c r="S43" s="3"/>
      <c r="T43" s="3"/>
      <c r="X43" s="82" t="s">
        <v>113</v>
      </c>
      <c r="Y43" s="3">
        <f>25^0.45</f>
        <v>4.2566996126039234</v>
      </c>
      <c r="Z43" s="3">
        <f>37.5^0.45</f>
        <v>5.1087431744234335</v>
      </c>
      <c r="AA43" s="3">
        <f>25^0.45</f>
        <v>4.2566996126039234</v>
      </c>
      <c r="AB43" s="3">
        <f>19^0.45</f>
        <v>3.7621761023862978</v>
      </c>
      <c r="AC43" s="3">
        <f>12.5^0.45</f>
        <v>3.116086507375345</v>
      </c>
      <c r="AD43" s="3">
        <f>9.5^0.45</f>
        <v>2.754074108566122</v>
      </c>
      <c r="AE43" s="40">
        <v>100</v>
      </c>
      <c r="AF43" s="38">
        <f>IF($M$6="1",Z43,IF($M$6="3/4",AA43,IF($M$6="1/2",AB43,IF($M$6="3/8",AC43,IF($M$6="No. 4",AD43)))))</f>
        <v>3.7621761023862978</v>
      </c>
      <c r="AG43" s="91" t="s">
        <v>110</v>
      </c>
      <c r="AJ43" s="4">
        <v>90</v>
      </c>
      <c r="AK43" s="4">
        <v>100</v>
      </c>
      <c r="AM43" s="4">
        <v>100</v>
      </c>
      <c r="AN43" s="4">
        <v>90</v>
      </c>
      <c r="AO43" s="4">
        <v>100</v>
      </c>
      <c r="AQ43" s="4">
        <v>100</v>
      </c>
      <c r="AV43" s="103"/>
      <c r="AW43" s="103"/>
      <c r="BI43" s="103"/>
      <c r="BJ43" s="103"/>
    </row>
    <row r="44" spans="1:62" ht="13.5" thickBot="1" x14ac:dyDescent="0.25">
      <c r="A44" s="103"/>
      <c r="B44" s="47"/>
      <c r="C44" s="47"/>
      <c r="D44" s="47"/>
      <c r="E44" s="131"/>
      <c r="F44" s="78"/>
      <c r="G44" s="78"/>
      <c r="H44" s="78"/>
      <c r="I44" s="78"/>
      <c r="J44" s="78"/>
      <c r="K44" s="78"/>
      <c r="L44" s="78"/>
      <c r="M44" s="78"/>
      <c r="N44" s="78"/>
      <c r="O44" s="47"/>
      <c r="P44" s="47"/>
      <c r="Q44" s="131"/>
      <c r="R44" s="47"/>
      <c r="S44" s="3"/>
      <c r="T44" s="3"/>
      <c r="X44" s="82" t="s">
        <v>109</v>
      </c>
      <c r="Y44" s="3">
        <f>12.5^0.45</f>
        <v>3.116086507375345</v>
      </c>
      <c r="AE44" s="4">
        <v>0</v>
      </c>
      <c r="AF44" s="4">
        <v>0</v>
      </c>
      <c r="AG44" s="91" t="s">
        <v>109</v>
      </c>
      <c r="AL44" s="32">
        <v>90</v>
      </c>
      <c r="AM44" s="32">
        <v>100</v>
      </c>
      <c r="AN44" s="32">
        <v>50</v>
      </c>
      <c r="AO44" s="32">
        <v>88</v>
      </c>
      <c r="AP44" s="32">
        <v>90</v>
      </c>
      <c r="AQ44" s="32">
        <v>100</v>
      </c>
      <c r="AR44" s="32"/>
      <c r="AS44" s="32">
        <v>100</v>
      </c>
      <c r="AT44" s="32"/>
      <c r="AU44" s="32">
        <v>100</v>
      </c>
      <c r="AV44" s="103"/>
      <c r="AW44" s="103">
        <v>100</v>
      </c>
      <c r="BI44" s="103"/>
      <c r="BJ44" s="103"/>
    </row>
    <row r="45" spans="1:62" x14ac:dyDescent="0.2">
      <c r="A45" s="103"/>
      <c r="B45" s="185" t="str">
        <f>B1</f>
        <v>Earth Engineering</v>
      </c>
      <c r="C45" s="186"/>
      <c r="D45" s="187"/>
      <c r="E45" s="187"/>
      <c r="F45" s="187"/>
      <c r="G45" s="187"/>
      <c r="H45" s="187"/>
      <c r="I45" s="27"/>
      <c r="J45" s="27"/>
      <c r="K45" s="27"/>
      <c r="L45" s="27"/>
      <c r="M45" s="27"/>
      <c r="N45" s="27"/>
      <c r="O45" s="142" t="s">
        <v>62</v>
      </c>
      <c r="P45" s="59"/>
      <c r="Q45" s="143" t="str">
        <f>Q1</f>
        <v>ABC</v>
      </c>
      <c r="R45" s="144"/>
      <c r="S45" s="3"/>
      <c r="T45" s="3"/>
      <c r="X45" s="82" t="s">
        <v>108</v>
      </c>
      <c r="Y45" s="3">
        <f>9.5^0.45</f>
        <v>2.754074108566122</v>
      </c>
      <c r="AG45" s="91" t="s">
        <v>108</v>
      </c>
      <c r="AN45" s="32">
        <v>25</v>
      </c>
      <c r="AO45" s="32">
        <v>60</v>
      </c>
      <c r="AP45" s="32">
        <v>50</v>
      </c>
      <c r="AQ45" s="32">
        <v>80</v>
      </c>
      <c r="AR45" s="32">
        <v>90</v>
      </c>
      <c r="AS45" s="32">
        <v>100</v>
      </c>
      <c r="AT45" s="32"/>
      <c r="AU45" s="32">
        <v>100</v>
      </c>
      <c r="AV45" s="32">
        <v>90</v>
      </c>
      <c r="AW45" s="32">
        <v>100</v>
      </c>
      <c r="BI45" s="103"/>
      <c r="BJ45" s="103">
        <v>100</v>
      </c>
    </row>
    <row r="46" spans="1:62" x14ac:dyDescent="0.2">
      <c r="A46" s="103"/>
      <c r="B46" s="142" t="str">
        <f>B2</f>
        <v>Laboratory Design for Asphalt</v>
      </c>
      <c r="C46" s="59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142"/>
      <c r="P46" s="59"/>
      <c r="Q46" s="145"/>
      <c r="R46" s="144"/>
      <c r="S46" s="3"/>
      <c r="T46" s="3"/>
      <c r="X46" s="82" t="s">
        <v>105</v>
      </c>
      <c r="Y46" s="3">
        <f>4.75^0.45</f>
        <v>2.0161002539629291</v>
      </c>
      <c r="AG46" s="90" t="s">
        <v>173</v>
      </c>
      <c r="AN46" s="4">
        <v>20</v>
      </c>
      <c r="AO46" s="4">
        <v>28</v>
      </c>
      <c r="AP46" s="4">
        <v>20</v>
      </c>
      <c r="AQ46" s="4">
        <v>35</v>
      </c>
      <c r="AR46" s="4">
        <v>26</v>
      </c>
      <c r="AS46" s="4">
        <v>60</v>
      </c>
      <c r="AT46" s="4">
        <v>90</v>
      </c>
      <c r="AU46" s="4">
        <v>100</v>
      </c>
      <c r="AV46" s="103"/>
      <c r="AW46" s="103"/>
      <c r="BI46" s="103">
        <v>90</v>
      </c>
      <c r="BJ46" s="103">
        <v>100</v>
      </c>
    </row>
    <row r="47" spans="1:62" ht="13.5" thickBot="1" x14ac:dyDescent="0.25">
      <c r="A47" s="103"/>
      <c r="B47" s="146"/>
      <c r="C47" s="1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148"/>
      <c r="P47" s="47"/>
      <c r="Q47" s="147"/>
      <c r="R47" s="149"/>
      <c r="S47" s="3"/>
      <c r="T47" s="3"/>
      <c r="X47" s="82" t="s">
        <v>114</v>
      </c>
      <c r="Y47" s="3">
        <f>2.36^0.45</f>
        <v>1.4716698795820382</v>
      </c>
      <c r="AG47" s="90" t="s">
        <v>174</v>
      </c>
      <c r="AH47" s="4">
        <v>19</v>
      </c>
      <c r="AI47" s="4">
        <v>45</v>
      </c>
      <c r="AJ47" s="4">
        <v>23</v>
      </c>
      <c r="AK47" s="4">
        <v>49</v>
      </c>
      <c r="AL47" s="4">
        <v>28</v>
      </c>
      <c r="AM47" s="4">
        <v>58</v>
      </c>
      <c r="AN47" s="34">
        <v>16</v>
      </c>
      <c r="AO47" s="4">
        <v>24</v>
      </c>
      <c r="AP47" s="4">
        <v>16</v>
      </c>
      <c r="AQ47" s="4">
        <v>24</v>
      </c>
      <c r="AR47" s="4">
        <v>20</v>
      </c>
      <c r="AS47" s="4">
        <v>28</v>
      </c>
      <c r="AT47" s="4">
        <v>28</v>
      </c>
      <c r="AU47" s="4">
        <v>65</v>
      </c>
      <c r="AV47" s="4">
        <v>28</v>
      </c>
      <c r="AW47" s="4">
        <v>58</v>
      </c>
      <c r="BI47" s="103"/>
      <c r="BJ47" s="103"/>
    </row>
    <row r="48" spans="1:62" x14ac:dyDescent="0.2">
      <c r="A48" s="103"/>
      <c r="B48" s="142" t="s">
        <v>67</v>
      </c>
      <c r="C48" s="59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144"/>
      <c r="S48" s="3"/>
      <c r="T48" s="3"/>
      <c r="X48" s="82" t="s">
        <v>115</v>
      </c>
      <c r="Y48" s="3">
        <f>1.18^0.45</f>
        <v>1.0773254099250416</v>
      </c>
      <c r="AG48" s="90" t="s">
        <v>175</v>
      </c>
      <c r="AT48" s="4">
        <v>22</v>
      </c>
      <c r="AU48" s="4">
        <v>36</v>
      </c>
      <c r="AV48" s="103"/>
      <c r="AW48" s="103"/>
      <c r="BI48" s="103">
        <v>30</v>
      </c>
      <c r="BJ48" s="103">
        <v>54</v>
      </c>
    </row>
    <row r="49" spans="1:62" x14ac:dyDescent="0.2">
      <c r="A49" s="103"/>
      <c r="B49" s="142"/>
      <c r="C49" s="59"/>
      <c r="D49" s="27" t="s">
        <v>51</v>
      </c>
      <c r="E49" s="18">
        <v>2.5099999999999998</v>
      </c>
      <c r="F49" s="120" t="s">
        <v>52</v>
      </c>
      <c r="G49" s="19">
        <v>5.2</v>
      </c>
      <c r="H49" s="27" t="s">
        <v>53</v>
      </c>
      <c r="I49" s="27"/>
      <c r="J49" s="27"/>
      <c r="K49" s="27"/>
      <c r="L49" s="27"/>
      <c r="M49" s="27"/>
      <c r="N49" s="27"/>
      <c r="O49" s="27"/>
      <c r="P49" s="103"/>
      <c r="Q49" s="27" t="s">
        <v>147</v>
      </c>
      <c r="R49" s="144"/>
      <c r="S49" s="3"/>
      <c r="T49" s="3"/>
      <c r="X49" s="82" t="s">
        <v>119</v>
      </c>
      <c r="Y49" s="3">
        <f>0.6^0.45</f>
        <v>0.79463568224020453</v>
      </c>
      <c r="AG49" s="90" t="s">
        <v>176</v>
      </c>
      <c r="AN49" s="4">
        <v>12</v>
      </c>
      <c r="AO49" s="4">
        <v>18</v>
      </c>
      <c r="AP49" s="4">
        <v>12</v>
      </c>
      <c r="AQ49" s="4">
        <v>18</v>
      </c>
      <c r="AR49" s="4">
        <v>12</v>
      </c>
      <c r="AS49" s="4">
        <v>18</v>
      </c>
      <c r="AT49" s="4">
        <v>18</v>
      </c>
      <c r="AU49" s="4">
        <v>28</v>
      </c>
      <c r="AV49" s="103"/>
      <c r="AW49" s="103"/>
      <c r="BI49" s="103"/>
      <c r="BJ49" s="103"/>
    </row>
    <row r="50" spans="1:62" x14ac:dyDescent="0.2">
      <c r="A50" s="103"/>
      <c r="B50" s="150"/>
      <c r="C50" s="27"/>
      <c r="D50" s="27" t="s">
        <v>81</v>
      </c>
      <c r="E50" s="27"/>
      <c r="F50" s="27"/>
      <c r="G50" s="27"/>
      <c r="H50" s="19">
        <v>4.5999999999999996</v>
      </c>
      <c r="I50" s="19">
        <v>5.0999999999999996</v>
      </c>
      <c r="J50" s="19">
        <v>5.6</v>
      </c>
      <c r="K50" s="19">
        <v>6.1</v>
      </c>
      <c r="L50" s="19"/>
      <c r="M50" s="27" t="s">
        <v>57</v>
      </c>
      <c r="N50" s="27"/>
      <c r="O50" s="27"/>
      <c r="P50" s="27"/>
      <c r="Q50" s="30">
        <f>G49</f>
        <v>5.2</v>
      </c>
      <c r="R50" s="144" t="s">
        <v>148</v>
      </c>
      <c r="S50" s="3"/>
      <c r="T50" s="3"/>
      <c r="X50" s="82" t="s">
        <v>116</v>
      </c>
      <c r="Y50" s="3">
        <f>0.3^0.45</f>
        <v>0.58170736792793831</v>
      </c>
      <c r="AG50" s="90" t="s">
        <v>177</v>
      </c>
      <c r="AR50" s="4">
        <v>10</v>
      </c>
      <c r="AS50" s="4">
        <v>15</v>
      </c>
      <c r="AT50" s="4">
        <v>15</v>
      </c>
      <c r="AU50" s="4">
        <v>22</v>
      </c>
      <c r="AV50" s="103"/>
      <c r="AW50" s="103"/>
      <c r="BI50" s="103"/>
      <c r="BJ50" s="103"/>
    </row>
    <row r="51" spans="1:62" x14ac:dyDescent="0.2">
      <c r="A51" s="103"/>
      <c r="B51" s="150"/>
      <c r="C51" s="27"/>
      <c r="D51" s="27" t="s">
        <v>64</v>
      </c>
      <c r="E51" s="27"/>
      <c r="F51" s="27"/>
      <c r="G51" s="27"/>
      <c r="H51" s="25">
        <f>100/((100-H50)/((100-G49)/((100/E49)-(G49/P36)))+((H50)/P36))</f>
        <v>2.5329978503150188</v>
      </c>
      <c r="I51" s="25">
        <f>100/((100-I50)/((100-G49)/((100/E49)-(G49/P36)))+((I50/P36)))</f>
        <v>2.5138039304894209</v>
      </c>
      <c r="J51" s="25">
        <f>100/((100-J50)/((100-G49)/((100/E49)-(G49/P36)))+((J50/P36)))</f>
        <v>2.49489870884284</v>
      </c>
      <c r="K51" s="25">
        <f>100/((100-K50)/((100-G49)/((100/E49)-(G49/P36)))+((K50/P36)))</f>
        <v>2.4762757204761492</v>
      </c>
      <c r="L51" s="25"/>
      <c r="M51" s="27"/>
      <c r="N51" s="27"/>
      <c r="O51" s="27"/>
      <c r="P51" s="27"/>
      <c r="Q51" s="25">
        <f>100/((100-$Q$50)/((100-$G$49)/((100/$E$49)-($G$49/$P$36)))+($Q$50/$P$36))</f>
        <v>2.5099999999999998</v>
      </c>
      <c r="R51" s="144" t="s">
        <v>149</v>
      </c>
      <c r="S51" s="3"/>
      <c r="T51" s="3"/>
      <c r="X51" s="82" t="s">
        <v>117</v>
      </c>
      <c r="Y51" s="3">
        <f>0.15^0.45</f>
        <v>0.42583471830473674</v>
      </c>
      <c r="AG51" s="90" t="s">
        <v>178</v>
      </c>
      <c r="AV51" s="103"/>
      <c r="AW51" s="103"/>
      <c r="BI51" s="103"/>
      <c r="BJ51" s="103"/>
    </row>
    <row r="52" spans="1:62" x14ac:dyDescent="0.2">
      <c r="A52" s="103"/>
      <c r="B52" s="142" t="s">
        <v>23</v>
      </c>
      <c r="C52" s="59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144"/>
      <c r="S52" s="3"/>
      <c r="T52" s="3"/>
      <c r="X52" s="82" t="s">
        <v>118</v>
      </c>
      <c r="Y52" s="3">
        <f>0.075^0.45</f>
        <v>0.31172925995349998</v>
      </c>
      <c r="AG52" s="90" t="s">
        <v>179</v>
      </c>
      <c r="AH52" s="4">
        <v>1</v>
      </c>
      <c r="AI52" s="4">
        <v>7</v>
      </c>
      <c r="AJ52" s="4">
        <v>2</v>
      </c>
      <c r="AK52" s="4">
        <v>8</v>
      </c>
      <c r="AL52" s="4">
        <v>2</v>
      </c>
      <c r="AM52" s="4">
        <v>10</v>
      </c>
      <c r="AN52" s="4">
        <v>8</v>
      </c>
      <c r="AO52" s="4">
        <v>11</v>
      </c>
      <c r="AP52" s="34">
        <v>8</v>
      </c>
      <c r="AQ52" s="4">
        <v>11</v>
      </c>
      <c r="AR52" s="4">
        <v>8</v>
      </c>
      <c r="AS52" s="4">
        <v>12</v>
      </c>
      <c r="AT52" s="41">
        <v>12</v>
      </c>
      <c r="AU52" s="4">
        <v>15</v>
      </c>
      <c r="AV52" s="4">
        <v>2</v>
      </c>
      <c r="AW52" s="4">
        <v>10</v>
      </c>
      <c r="BI52" s="103">
        <v>2</v>
      </c>
      <c r="BJ52" s="103">
        <v>12</v>
      </c>
    </row>
    <row r="53" spans="1:62" x14ac:dyDescent="0.2">
      <c r="A53" s="103"/>
      <c r="B53" s="150"/>
      <c r="C53" s="27"/>
      <c r="D53" s="27" t="s">
        <v>24</v>
      </c>
      <c r="E53" s="27"/>
      <c r="F53" s="27"/>
      <c r="G53" s="27"/>
      <c r="H53" s="18">
        <v>2.3879999999999999</v>
      </c>
      <c r="I53" s="18">
        <v>2.4079999999999999</v>
      </c>
      <c r="J53" s="18">
        <v>2.4220000000000002</v>
      </c>
      <c r="K53" s="18">
        <v>2.4300000000000002</v>
      </c>
      <c r="L53" s="18"/>
      <c r="M53" s="27"/>
      <c r="N53" s="27"/>
      <c r="O53" s="27"/>
      <c r="P53" s="27"/>
      <c r="Q53" s="25">
        <f>Q51-((Q56*Q51)/100)</f>
        <v>2.4095999999999997</v>
      </c>
      <c r="R53" s="144" t="s">
        <v>150</v>
      </c>
      <c r="S53" s="3"/>
      <c r="T53" s="3"/>
      <c r="AV53" s="103"/>
      <c r="AW53" s="103"/>
      <c r="BI53" s="103"/>
      <c r="BJ53" s="103"/>
    </row>
    <row r="54" spans="1:62" x14ac:dyDescent="0.2">
      <c r="A54" s="103"/>
      <c r="B54" s="150"/>
      <c r="C54" s="27"/>
      <c r="D54" s="27" t="s">
        <v>25</v>
      </c>
      <c r="E54" s="27"/>
      <c r="F54" s="27"/>
      <c r="G54" s="27"/>
      <c r="H54" s="20">
        <v>65.099999999999994</v>
      </c>
      <c r="I54" s="20">
        <v>64.8</v>
      </c>
      <c r="J54" s="20">
        <v>63.6</v>
      </c>
      <c r="K54" s="20">
        <v>62.8</v>
      </c>
      <c r="L54" s="20"/>
      <c r="M54" s="27"/>
      <c r="N54" s="27"/>
      <c r="O54" s="27"/>
      <c r="P54" s="27"/>
      <c r="Q54" s="27"/>
      <c r="R54" s="144"/>
      <c r="S54" s="3"/>
      <c r="T54" s="3"/>
      <c r="AV54" s="103"/>
      <c r="AW54" s="103"/>
      <c r="BI54" s="103"/>
      <c r="BJ54" s="103"/>
    </row>
    <row r="55" spans="1:62" x14ac:dyDescent="0.2">
      <c r="A55" s="103"/>
      <c r="B55" s="142" t="s">
        <v>26</v>
      </c>
      <c r="C55" s="59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59" t="s">
        <v>31</v>
      </c>
      <c r="O55" s="103"/>
      <c r="P55" s="59"/>
      <c r="Q55" s="27"/>
      <c r="R55" s="144"/>
      <c r="S55" s="3"/>
      <c r="T55" s="3"/>
      <c r="AV55" s="103"/>
      <c r="AW55" s="103"/>
      <c r="BI55" s="103"/>
      <c r="BJ55" s="103"/>
    </row>
    <row r="56" spans="1:62" x14ac:dyDescent="0.2">
      <c r="A56" s="103"/>
      <c r="B56" s="150"/>
      <c r="C56" s="27"/>
      <c r="D56" s="27" t="s">
        <v>27</v>
      </c>
      <c r="E56" s="27"/>
      <c r="F56" s="27"/>
      <c r="G56" s="27"/>
      <c r="H56" s="26">
        <f>100*(H51-H53)/H51</f>
        <v>5.7243574169234321</v>
      </c>
      <c r="I56" s="26">
        <f>100*(I51-I53)/I51</f>
        <v>4.2089173784059453</v>
      </c>
      <c r="J56" s="26">
        <f>100*(J51-J53)/J51</f>
        <v>2.9219105603149345</v>
      </c>
      <c r="K56" s="26">
        <f>100*(K51-K53)/K51</f>
        <v>1.8687628398363867</v>
      </c>
      <c r="L56" s="26"/>
      <c r="M56" s="27" t="s">
        <v>57</v>
      </c>
      <c r="N56" s="152" t="str">
        <f>IF($J$6="SMA 3/4","3% to 4%",IF($J$6="SMA 1/2","3% to 4%",IF($J$6="SMA 3/8","3% to 4%",IF($J$6="SMA No. 4","3% to 4%",IF(AND($J$6="ST",Q3=5),"2% to 3%",IF(AND(Q3=5,$J$6="SX"),"3% to 4%",IF(AND(Q3=5,$J$6="SF"),"3% to 4%",IF(AND(Q3=5,$J$6="S"),"3% to 4%",IF(AND(Q3=5,$J$6="SG"),"3% to 4%",IF(AND(Q3=5,$J$6="SMA 3/4"),"3% to 4%",IF(AND(Q3=5,$J$6="SMA 1/2"),"3% to 4%",IF(AND(Q3=5,$J$6="SMA 3/8"),"3% to 4%",IF(AND(Q3=5,$J$6="SMA No. 4"),"3% to 4%",IF(AND(Q3=1,$J$6="SF"),"4% to 5%",IF(AND(Q3=2,$J$6="SF"),"4% to 5%",IF(AND(Q3=3,$J$6="SF"),"4% to 5%",IF(AND(Q3=4,$J$6="SF"),"4% to 5%",IF(AND(Q3=6,$J$6="SF"),"4% to 5%","3.5% to 4.5%"))))))))))))))))))</f>
        <v>2% to 3%</v>
      </c>
      <c r="O56" s="103"/>
      <c r="P56" s="120"/>
      <c r="Q56" s="43">
        <v>4</v>
      </c>
      <c r="R56" s="144" t="s">
        <v>151</v>
      </c>
      <c r="S56" s="3"/>
      <c r="T56" s="3"/>
      <c r="AV56" s="103"/>
      <c r="AW56" s="103"/>
      <c r="BI56" s="103"/>
      <c r="BJ56" s="103"/>
    </row>
    <row r="57" spans="1:62" x14ac:dyDescent="0.2">
      <c r="A57" s="103"/>
      <c r="B57" s="142" t="s">
        <v>28</v>
      </c>
      <c r="C57" s="59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153" t="s">
        <v>32</v>
      </c>
      <c r="O57" s="103"/>
      <c r="P57" s="153"/>
      <c r="Q57" s="27"/>
      <c r="R57" s="144"/>
      <c r="S57" s="3"/>
      <c r="T57" s="3"/>
      <c r="AV57" s="103"/>
      <c r="AW57" s="103"/>
      <c r="BI57" s="103"/>
      <c r="BJ57" s="103"/>
    </row>
    <row r="58" spans="1:62" x14ac:dyDescent="0.2">
      <c r="A58" s="103"/>
      <c r="B58" s="150"/>
      <c r="C58" s="27"/>
      <c r="D58" s="27" t="s">
        <v>29</v>
      </c>
      <c r="E58" s="27"/>
      <c r="F58" s="27"/>
      <c r="G58" s="27"/>
      <c r="H58" s="26">
        <f>100-((H53*(100-H50)))/$P$30</f>
        <v>15.761357362042091</v>
      </c>
      <c r="I58" s="26">
        <f t="shared" ref="I58:K58" si="5">100-((I53*(100-I50)))/$P$30</f>
        <v>15.501041086318949</v>
      </c>
      <c r="J58" s="26">
        <f t="shared" si="5"/>
        <v>15.45755643571519</v>
      </c>
      <c r="K58" s="26">
        <f t="shared" si="5"/>
        <v>15.627575503296868</v>
      </c>
      <c r="L58" s="26"/>
      <c r="M58" s="27" t="s">
        <v>57</v>
      </c>
      <c r="N58" s="42" t="s">
        <v>263</v>
      </c>
      <c r="O58" s="103"/>
      <c r="P58" s="120"/>
      <c r="Q58" s="52">
        <f>100-((Q53*(100-Q50))/P30)</f>
        <v>15.533994760313902</v>
      </c>
      <c r="R58" s="144" t="s">
        <v>152</v>
      </c>
      <c r="S58" s="3"/>
      <c r="T58" s="3"/>
      <c r="AV58" s="103"/>
      <c r="AW58" s="103"/>
      <c r="BI58" s="103"/>
      <c r="BJ58" s="103"/>
    </row>
    <row r="59" spans="1:62" x14ac:dyDescent="0.2">
      <c r="A59" s="103"/>
      <c r="B59" s="150"/>
      <c r="C59" s="27"/>
      <c r="D59" s="27" t="s">
        <v>30</v>
      </c>
      <c r="E59" s="27"/>
      <c r="F59" s="27"/>
      <c r="G59" s="27"/>
      <c r="H59" s="28">
        <f>(100*(H58-H56))/H58</f>
        <v>63.681063214077355</v>
      </c>
      <c r="I59" s="28">
        <f>(100*(I58-I56))/I58</f>
        <v>72.847518079797297</v>
      </c>
      <c r="J59" s="28">
        <f>(100*(J58-J56))/J58</f>
        <v>81.09720270169116</v>
      </c>
      <c r="K59" s="28">
        <f>(100*(K58-K56))/K58</f>
        <v>88.04188890693797</v>
      </c>
      <c r="L59" s="28"/>
      <c r="M59" s="27" t="s">
        <v>57</v>
      </c>
      <c r="N59" s="70" t="str">
        <f>IF(O6=75,"65-80%",IF(O6=50,"70-80%","65-75%"))</f>
        <v>65-75%</v>
      </c>
      <c r="O59" s="103"/>
      <c r="P59" s="70"/>
      <c r="Q59" s="53">
        <f>100*((Q58-Q56)/Q58)</f>
        <v>74.25002350188015</v>
      </c>
      <c r="R59" s="144" t="s">
        <v>153</v>
      </c>
      <c r="S59" s="3"/>
      <c r="T59" s="3"/>
      <c r="AV59" s="103"/>
      <c r="AW59" s="103"/>
      <c r="BI59" s="103"/>
      <c r="BJ59" s="103"/>
    </row>
    <row r="60" spans="1:62" x14ac:dyDescent="0.2">
      <c r="A60" s="103"/>
      <c r="B60" s="150"/>
      <c r="C60" s="27"/>
      <c r="D60" s="27" t="s">
        <v>76</v>
      </c>
      <c r="E60" s="27"/>
      <c r="F60" s="27"/>
      <c r="G60" s="27"/>
      <c r="H60" s="29">
        <f>(100-H50)/((100/H51)-(H50/$P$36))</f>
        <v>2.7243735341151392</v>
      </c>
      <c r="I60" s="29">
        <f>(100-I50)/((100/I51)-(I50/$P$36))</f>
        <v>2.7243735341151392</v>
      </c>
      <c r="J60" s="29">
        <f>(100-J50)/((100/J51)-(J50/$P$36))</f>
        <v>2.7243735341151387</v>
      </c>
      <c r="K60" s="29">
        <f>(100-K50)/((100/K51)-(K50/$P$36))</f>
        <v>2.7243735341151387</v>
      </c>
      <c r="L60" s="29"/>
      <c r="M60" s="27"/>
      <c r="N60" s="70"/>
      <c r="O60" s="103"/>
      <c r="P60" s="70"/>
      <c r="Q60" s="27"/>
      <c r="R60" s="144"/>
      <c r="S60" s="3"/>
      <c r="T60" s="3"/>
      <c r="AV60" s="103"/>
      <c r="AW60" s="103"/>
      <c r="BI60" s="103"/>
      <c r="BJ60" s="103"/>
    </row>
    <row r="61" spans="1:62" x14ac:dyDescent="0.2">
      <c r="A61" s="103"/>
      <c r="B61" s="150"/>
      <c r="C61" s="27"/>
      <c r="D61" s="27" t="s">
        <v>88</v>
      </c>
      <c r="E61" s="27"/>
      <c r="F61" s="27"/>
      <c r="G61" s="27"/>
      <c r="H61" s="30">
        <f>-((100-H50)*$P$36)*((H60-$P$30)/(H60*$P$30))+H50</f>
        <v>4.3333948674276899</v>
      </c>
      <c r="I61" s="30">
        <f>-((100-I50)*$P$36)*((I60-$P$30)/(I60*$P$30))+I50</f>
        <v>4.834792168961088</v>
      </c>
      <c r="J61" s="30">
        <f>-((100-J50)*$P$36)*((J60-$P$30)/(J60*$P$30))+J50</f>
        <v>5.3361894704944914</v>
      </c>
      <c r="K61" s="30">
        <f>-((100-$K$50)*$P$36)*(($K$60-$P$30)/($K$60*$P$30))+$K$50</f>
        <v>5.8375867720278887</v>
      </c>
      <c r="L61" s="30"/>
      <c r="M61" s="27"/>
      <c r="N61" s="70"/>
      <c r="O61" s="103"/>
      <c r="P61" s="70"/>
      <c r="Q61" s="54">
        <f>-((100-$Q$50)*$P$36)*(($P$33-$P$30)/($P$33*$P$30))+$Q$50</f>
        <v>4.9350716292677737</v>
      </c>
      <c r="R61" s="144" t="s">
        <v>156</v>
      </c>
      <c r="S61" s="3"/>
      <c r="T61" s="3"/>
      <c r="AV61" s="103"/>
      <c r="AW61" s="103"/>
      <c r="BI61" s="103"/>
      <c r="BJ61" s="103"/>
    </row>
    <row r="62" spans="1:62" x14ac:dyDescent="0.2">
      <c r="A62" s="103"/>
      <c r="B62" s="150"/>
      <c r="C62" s="27"/>
      <c r="D62" s="27" t="s">
        <v>58</v>
      </c>
      <c r="E62" s="27"/>
      <c r="F62" s="27"/>
      <c r="G62" s="27"/>
      <c r="H62" s="30">
        <f>($P$28-1)/H61</f>
        <v>1.3211350858036088</v>
      </c>
      <c r="I62" s="30">
        <f>($P$28-1)/I61</f>
        <v>1.1841253563604992</v>
      </c>
      <c r="J62" s="30">
        <f>($P$28-1)/J61</f>
        <v>1.0728629542963881</v>
      </c>
      <c r="K62" s="30">
        <f>($P$28-1)/K61</f>
        <v>0.98071347349089977</v>
      </c>
      <c r="L62" s="30"/>
      <c r="M62" s="27"/>
      <c r="N62" s="170" t="s">
        <v>264</v>
      </c>
      <c r="O62" s="35"/>
      <c r="P62" s="70"/>
      <c r="Q62" s="30">
        <f>($P$28-1)/Q61</f>
        <v>1.1600642158965846</v>
      </c>
      <c r="R62" s="144" t="s">
        <v>154</v>
      </c>
      <c r="S62" s="3"/>
      <c r="T62" s="3"/>
      <c r="AV62" s="103"/>
      <c r="AW62" s="103"/>
      <c r="BI62" s="103"/>
      <c r="BJ62" s="103"/>
    </row>
    <row r="63" spans="1:62" x14ac:dyDescent="0.2">
      <c r="A63" s="103"/>
      <c r="B63" s="150"/>
      <c r="C63" s="27"/>
      <c r="D63" s="27" t="s">
        <v>207</v>
      </c>
      <c r="E63" s="27"/>
      <c r="F63" s="27"/>
      <c r="G63" s="27"/>
      <c r="H63" s="5">
        <v>48</v>
      </c>
      <c r="I63" s="5">
        <v>48</v>
      </c>
      <c r="J63" s="5">
        <v>47</v>
      </c>
      <c r="K63" s="5">
        <v>44</v>
      </c>
      <c r="L63" s="5"/>
      <c r="M63" s="27"/>
      <c r="N63" s="70" t="str">
        <f>IF(O6=75,"28",IF(O6=100,"30",IF(O6=125,"30",NA())))</f>
        <v>30</v>
      </c>
      <c r="O63" s="111"/>
      <c r="P63" s="70"/>
      <c r="Q63" s="43">
        <v>48</v>
      </c>
      <c r="R63" s="144" t="s">
        <v>155</v>
      </c>
      <c r="S63" s="3"/>
      <c r="T63" s="3"/>
      <c r="AV63" s="103"/>
      <c r="AW63" s="103"/>
      <c r="BI63" s="103"/>
      <c r="BJ63" s="103"/>
    </row>
    <row r="64" spans="1:62" x14ac:dyDescent="0.2">
      <c r="A64" s="103"/>
      <c r="B64" s="150"/>
      <c r="C64" s="27"/>
      <c r="D64" s="27"/>
      <c r="E64" s="27"/>
      <c r="F64" s="27"/>
      <c r="G64" s="27"/>
      <c r="H64" s="55"/>
      <c r="I64" s="55"/>
      <c r="J64" s="55"/>
      <c r="K64" s="55"/>
      <c r="L64" s="55"/>
      <c r="M64" s="55"/>
      <c r="N64" s="70"/>
      <c r="O64" s="122"/>
      <c r="P64" s="70"/>
      <c r="Q64" s="55"/>
      <c r="R64" s="144"/>
      <c r="S64" s="3"/>
      <c r="T64" s="3"/>
      <c r="AV64" s="103"/>
      <c r="AW64" s="103"/>
      <c r="BI64" s="103"/>
      <c r="BJ64" s="103"/>
    </row>
    <row r="65" spans="1:62" ht="23.25" thickBot="1" x14ac:dyDescent="0.25">
      <c r="A65" s="103"/>
      <c r="B65" s="148"/>
      <c r="C65" s="47"/>
      <c r="D65" s="47" t="s">
        <v>208</v>
      </c>
      <c r="E65" s="47"/>
      <c r="F65" s="47"/>
      <c r="G65" s="47"/>
      <c r="H65" s="58">
        <f>(($M$13*$M$16)+($N$13*$N$16)+($O$13*$O$16))/H61</f>
        <v>32.884148423932629</v>
      </c>
      <c r="I65" s="58">
        <f>(($M$13*$M$16)+($N$13*$N$16)+($O$13*$O$16))/I61</f>
        <v>29.473862581898892</v>
      </c>
      <c r="J65" s="58">
        <f>(($M$13*$M$16)+($N$13*$N$16)+($O$13*$O$16))/J61</f>
        <v>26.704449080739796</v>
      </c>
      <c r="K65" s="58">
        <f>(($M$13*$M$16)+($N$13*$N$16)+($O$13*$O$16))/K61</f>
        <v>24.410772047590083</v>
      </c>
      <c r="L65" s="78" t="e">
        <f>(($M$13*$M$16)+($N$13*$N$16)+($O$13*$O$16))/L61</f>
        <v>#DIV/0!</v>
      </c>
      <c r="M65" s="78"/>
      <c r="N65" s="166" t="s">
        <v>235</v>
      </c>
      <c r="O65" s="115"/>
      <c r="P65" s="140"/>
      <c r="Q65" s="58">
        <f>(($M$13*$M$16)+($N$13*$N$16)+($O$13*$O$16))/Q61</f>
        <v>28.874960832360401</v>
      </c>
      <c r="R65" s="165" t="s">
        <v>235</v>
      </c>
      <c r="S65" s="3"/>
      <c r="T65" s="3"/>
      <c r="AV65" s="103"/>
      <c r="AW65" s="103"/>
      <c r="BI65" s="103"/>
      <c r="BJ65" s="103"/>
    </row>
    <row r="66" spans="1:62" hidden="1" x14ac:dyDescent="0.2">
      <c r="A66" s="103"/>
      <c r="B66" s="142" t="s">
        <v>33</v>
      </c>
      <c r="C66" s="59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144"/>
      <c r="S66" s="3"/>
      <c r="T66" s="3"/>
      <c r="AV66" s="103"/>
      <c r="AW66" s="103"/>
      <c r="BI66" s="103"/>
      <c r="BJ66" s="103"/>
    </row>
    <row r="67" spans="1:62" hidden="1" x14ac:dyDescent="0.2">
      <c r="A67" s="103"/>
      <c r="B67" s="150"/>
      <c r="C67" s="27"/>
      <c r="D67" s="27" t="s">
        <v>34</v>
      </c>
      <c r="E67" s="27"/>
      <c r="F67" s="27"/>
      <c r="G67" s="27"/>
      <c r="H67" s="154">
        <v>5.2</v>
      </c>
      <c r="I67" s="27"/>
      <c r="J67" s="27" t="s">
        <v>36</v>
      </c>
      <c r="K67" s="27"/>
      <c r="L67" s="27"/>
      <c r="M67" s="155">
        <v>4</v>
      </c>
      <c r="N67" s="27"/>
      <c r="O67" s="103"/>
      <c r="P67" s="86"/>
      <c r="Q67" s="103"/>
      <c r="R67" s="144"/>
      <c r="S67" s="3"/>
      <c r="T67" s="3"/>
      <c r="AV67" s="103"/>
      <c r="AW67" s="103"/>
      <c r="BI67" s="103"/>
      <c r="BJ67" s="103"/>
    </row>
    <row r="68" spans="1:62" hidden="1" x14ac:dyDescent="0.2">
      <c r="A68" s="103"/>
      <c r="B68" s="150"/>
      <c r="C68" s="27"/>
      <c r="D68" s="27" t="s">
        <v>35</v>
      </c>
      <c r="E68" s="27"/>
      <c r="F68" s="27"/>
      <c r="G68" s="27"/>
      <c r="H68" s="25">
        <f>100/((100-$H$67)/((100-$G$49)/((100/$E$49)-($G$49/$P$36)))+($H$67/$P$36))</f>
        <v>2.5099999999999998</v>
      </c>
      <c r="I68" s="27"/>
      <c r="J68" s="27" t="s">
        <v>37</v>
      </c>
      <c r="K68" s="27"/>
      <c r="L68" s="27"/>
      <c r="M68" s="151">
        <v>15</v>
      </c>
      <c r="N68" s="27"/>
      <c r="O68" s="103"/>
      <c r="P68" s="26"/>
      <c r="Q68" s="111"/>
      <c r="R68" s="144"/>
      <c r="S68" s="3"/>
      <c r="T68" s="3"/>
      <c r="AV68" s="103"/>
      <c r="AW68" s="103"/>
      <c r="BI68" s="103"/>
      <c r="BJ68" s="103"/>
    </row>
    <row r="69" spans="1:62" ht="13.5" hidden="1" thickBot="1" x14ac:dyDescent="0.25">
      <c r="A69" s="103"/>
      <c r="B69" s="148"/>
      <c r="C69" s="47"/>
      <c r="D69" s="47" t="s">
        <v>90</v>
      </c>
      <c r="E69" s="47"/>
      <c r="F69" s="47"/>
      <c r="G69" s="47"/>
      <c r="H69" s="33"/>
      <c r="I69" s="47"/>
      <c r="J69" s="47"/>
      <c r="K69" s="47"/>
      <c r="L69" s="47"/>
      <c r="M69" s="47"/>
      <c r="N69" s="47"/>
      <c r="O69" s="58"/>
      <c r="P69" s="58"/>
      <c r="Q69" s="114"/>
      <c r="R69" s="149"/>
      <c r="S69" s="3"/>
      <c r="T69" s="3"/>
      <c r="AV69" s="103"/>
      <c r="AW69" s="103"/>
      <c r="BI69" s="103"/>
      <c r="BJ69" s="103"/>
    </row>
    <row r="70" spans="1:62" x14ac:dyDescent="0.2">
      <c r="A70" s="103"/>
      <c r="B70" s="142" t="s">
        <v>38</v>
      </c>
      <c r="C70" s="59"/>
      <c r="D70" s="27"/>
      <c r="E70" s="27"/>
      <c r="F70" s="27"/>
      <c r="G70" s="27"/>
      <c r="H70" s="27"/>
      <c r="I70" s="27"/>
      <c r="J70" s="27"/>
      <c r="K70" s="27"/>
      <c r="L70" s="27"/>
      <c r="M70" s="59" t="s">
        <v>43</v>
      </c>
      <c r="N70" s="59"/>
      <c r="O70" s="27"/>
      <c r="P70" s="27"/>
      <c r="Q70" s="27"/>
      <c r="R70" s="144"/>
      <c r="S70" s="3"/>
      <c r="T70" s="3"/>
      <c r="AV70" s="103"/>
      <c r="AW70" s="103"/>
      <c r="BI70" s="103"/>
      <c r="BJ70" s="103"/>
    </row>
    <row r="71" spans="1:62" x14ac:dyDescent="0.2">
      <c r="A71" s="103"/>
      <c r="B71" s="150"/>
      <c r="C71" s="27"/>
      <c r="D71" s="27" t="s">
        <v>50</v>
      </c>
      <c r="E71" s="27"/>
      <c r="F71" s="27"/>
      <c r="G71" s="27"/>
      <c r="H71" s="30">
        <f>+Q50</f>
        <v>5.2</v>
      </c>
      <c r="I71" s="27"/>
      <c r="J71" s="27"/>
      <c r="K71" s="27"/>
      <c r="L71" s="27"/>
      <c r="M71" s="27"/>
      <c r="N71" s="27"/>
      <c r="O71" s="27"/>
      <c r="P71" s="27"/>
      <c r="Q71" s="27"/>
      <c r="R71" s="144"/>
      <c r="S71" s="3"/>
      <c r="T71" s="3"/>
      <c r="AV71" s="103"/>
      <c r="AW71" s="103"/>
      <c r="BI71" s="103"/>
      <c r="BJ71" s="103"/>
    </row>
    <row r="72" spans="1:62" x14ac:dyDescent="0.2">
      <c r="A72" s="103"/>
      <c r="B72" s="150"/>
      <c r="C72" s="27"/>
      <c r="D72" s="27" t="s">
        <v>89</v>
      </c>
      <c r="E72" s="27"/>
      <c r="F72" s="27"/>
      <c r="G72" s="27"/>
      <c r="H72" s="28">
        <f>+(H74/H73)*100</f>
        <v>87.591240875912419</v>
      </c>
      <c r="I72" s="27" t="s">
        <v>57</v>
      </c>
      <c r="J72" s="27"/>
      <c r="K72" s="27"/>
      <c r="L72" s="27"/>
      <c r="M72" s="55" t="str">
        <f>IF(J6="SMA 3/4","&gt;70%",IF($J$6="SMA 1/2","&gt;70%",IF($J$6="SMA 3/8","&gt;70%",IF($J$6="SMA No. 4","&gt;70%","&gt;80%"))))</f>
        <v>&gt;80%</v>
      </c>
      <c r="N72" s="55"/>
      <c r="O72" s="27"/>
      <c r="P72" s="27"/>
      <c r="Q72" s="27"/>
      <c r="R72" s="144"/>
      <c r="S72" s="3"/>
      <c r="T72" s="3"/>
      <c r="AV72" s="103"/>
      <c r="AW72" s="103"/>
      <c r="BI72" s="103"/>
      <c r="BJ72" s="103"/>
    </row>
    <row r="73" spans="1:62" x14ac:dyDescent="0.2">
      <c r="A73" s="103"/>
      <c r="B73" s="150"/>
      <c r="C73" s="27"/>
      <c r="D73" s="27" t="s">
        <v>39</v>
      </c>
      <c r="E73" s="27"/>
      <c r="F73" s="27"/>
      <c r="G73" s="27"/>
      <c r="H73" s="5">
        <v>137</v>
      </c>
      <c r="I73" s="27"/>
      <c r="J73" s="27" t="s">
        <v>55</v>
      </c>
      <c r="K73" s="27"/>
      <c r="L73" s="27"/>
      <c r="M73" s="55" t="s">
        <v>44</v>
      </c>
      <c r="N73" s="55"/>
      <c r="O73" s="27"/>
      <c r="P73" s="27"/>
      <c r="Q73" s="27"/>
      <c r="R73" s="144"/>
      <c r="S73" s="3"/>
      <c r="T73" s="3"/>
      <c r="AV73" s="103"/>
      <c r="AW73" s="103"/>
      <c r="BI73" s="103"/>
      <c r="BJ73" s="103"/>
    </row>
    <row r="74" spans="1:62" x14ac:dyDescent="0.2">
      <c r="A74" s="103"/>
      <c r="B74" s="150"/>
      <c r="C74" s="27"/>
      <c r="D74" s="27" t="s">
        <v>40</v>
      </c>
      <c r="E74" s="27"/>
      <c r="F74" s="27"/>
      <c r="G74" s="27"/>
      <c r="H74" s="5">
        <v>120</v>
      </c>
      <c r="I74" s="27"/>
      <c r="J74" s="27" t="s">
        <v>56</v>
      </c>
      <c r="K74" s="27"/>
      <c r="L74" s="27"/>
      <c r="M74" s="55"/>
      <c r="N74" s="55"/>
      <c r="O74" s="27"/>
      <c r="P74" s="27"/>
      <c r="Q74" s="27"/>
      <c r="R74" s="144"/>
      <c r="S74" s="3"/>
      <c r="T74" s="3"/>
      <c r="AV74" s="103"/>
      <c r="AW74" s="103"/>
      <c r="BI74" s="103"/>
      <c r="BJ74" s="103"/>
    </row>
    <row r="75" spans="1:62" x14ac:dyDescent="0.2">
      <c r="A75" s="103"/>
      <c r="B75" s="150"/>
      <c r="C75" s="27"/>
      <c r="D75" s="27" t="s">
        <v>41</v>
      </c>
      <c r="E75" s="27"/>
      <c r="F75" s="27"/>
      <c r="G75" s="27"/>
      <c r="H75" s="5">
        <v>7.7</v>
      </c>
      <c r="I75" s="27"/>
      <c r="J75" s="27"/>
      <c r="K75" s="27"/>
      <c r="L75" s="27"/>
      <c r="M75" s="55" t="s">
        <v>144</v>
      </c>
      <c r="N75" s="55"/>
      <c r="O75" s="27"/>
      <c r="P75" s="27"/>
      <c r="Q75" s="27"/>
      <c r="R75" s="144"/>
      <c r="S75" s="3"/>
      <c r="T75" s="3"/>
      <c r="AV75" s="103"/>
      <c r="AW75" s="103"/>
      <c r="BI75" s="103"/>
      <c r="BJ75" s="103"/>
    </row>
    <row r="76" spans="1:62" ht="13.5" thickBot="1" x14ac:dyDescent="0.25">
      <c r="A76" s="103"/>
      <c r="B76" s="148"/>
      <c r="C76" s="47"/>
      <c r="D76" s="47" t="s">
        <v>42</v>
      </c>
      <c r="E76" s="47"/>
      <c r="F76" s="47"/>
      <c r="G76" s="47"/>
      <c r="H76" s="7">
        <v>90</v>
      </c>
      <c r="I76" s="47"/>
      <c r="J76" s="47"/>
      <c r="K76" s="47"/>
      <c r="L76" s="47"/>
      <c r="M76" s="47"/>
      <c r="N76" s="47"/>
      <c r="O76" s="47"/>
      <c r="P76" s="47"/>
      <c r="Q76" s="47"/>
      <c r="R76" s="149"/>
      <c r="S76" s="3"/>
      <c r="T76" s="3"/>
      <c r="AV76" s="103"/>
      <c r="AW76" s="103"/>
      <c r="BI76" s="103"/>
      <c r="BJ76" s="103"/>
    </row>
    <row r="77" spans="1:62" x14ac:dyDescent="0.2">
      <c r="A77" s="103"/>
      <c r="B77" s="142" t="s">
        <v>204</v>
      </c>
      <c r="C77" s="59"/>
      <c r="D77" s="27"/>
      <c r="E77" s="27"/>
      <c r="F77" s="27"/>
      <c r="G77" s="27"/>
      <c r="H77" s="55"/>
      <c r="I77" s="27"/>
      <c r="J77" s="27"/>
      <c r="K77" s="27"/>
      <c r="L77" s="27"/>
      <c r="M77" s="27"/>
      <c r="N77" s="27"/>
      <c r="O77" s="27"/>
      <c r="P77" s="27"/>
      <c r="Q77" s="27"/>
      <c r="R77" s="144"/>
      <c r="S77" s="3"/>
      <c r="T77" s="3"/>
      <c r="AV77" s="103"/>
      <c r="AW77" s="103"/>
      <c r="BI77" s="103"/>
      <c r="BJ77" s="103"/>
    </row>
    <row r="78" spans="1:62" x14ac:dyDescent="0.2">
      <c r="A78" s="103"/>
      <c r="B78" s="150"/>
      <c r="C78" s="27"/>
      <c r="D78" s="27" t="s">
        <v>135</v>
      </c>
      <c r="E78" s="27"/>
      <c r="F78" s="27"/>
      <c r="G78" s="27"/>
      <c r="H78" s="56">
        <f>((1-(Q56/100))*Q51)</f>
        <v>2.4095999999999997</v>
      </c>
      <c r="I78" s="27"/>
      <c r="J78" s="27"/>
      <c r="K78" s="27"/>
      <c r="L78" s="27"/>
      <c r="M78" s="27"/>
      <c r="N78" s="27"/>
      <c r="O78" s="156" t="s">
        <v>143</v>
      </c>
      <c r="P78" s="73"/>
      <c r="Q78" s="27"/>
      <c r="R78" s="144"/>
      <c r="S78" s="3"/>
      <c r="T78" s="3"/>
      <c r="V78" s="50"/>
      <c r="AV78" s="103"/>
      <c r="AW78" s="103"/>
      <c r="BI78" s="103"/>
      <c r="BJ78" s="103"/>
    </row>
    <row r="79" spans="1:62" x14ac:dyDescent="0.2">
      <c r="A79" s="103"/>
      <c r="B79" s="150"/>
      <c r="C79" s="27"/>
      <c r="D79" s="27" t="s">
        <v>181</v>
      </c>
      <c r="E79" s="27"/>
      <c r="F79" s="27"/>
      <c r="G79" s="27"/>
      <c r="H79" s="56">
        <f>P35</f>
        <v>2.7549999999999999</v>
      </c>
      <c r="I79" s="27"/>
      <c r="J79" s="27"/>
      <c r="K79" s="27"/>
      <c r="L79" s="27"/>
      <c r="M79" s="27"/>
      <c r="N79" s="27"/>
      <c r="O79" s="157" t="s">
        <v>136</v>
      </c>
      <c r="P79" s="85" t="e">
        <f>100-VLOOKUP(P78,C17:P28,14,FALSE)</f>
        <v>#N/A</v>
      </c>
      <c r="Q79" s="27"/>
      <c r="R79" s="144"/>
      <c r="S79" s="3"/>
      <c r="T79" s="3"/>
      <c r="AV79" s="103"/>
      <c r="AW79" s="103"/>
      <c r="BI79" s="103"/>
      <c r="BJ79" s="103"/>
    </row>
    <row r="80" spans="1:62" x14ac:dyDescent="0.2">
      <c r="A80" s="103"/>
      <c r="B80" s="150"/>
      <c r="C80" s="27"/>
      <c r="D80" s="27" t="s">
        <v>182</v>
      </c>
      <c r="E80" s="27"/>
      <c r="F80" s="27"/>
      <c r="G80" s="27"/>
      <c r="H80" s="26" t="e">
        <f>((100-$Q$50)/100)*(P79/100)*100</f>
        <v>#N/A</v>
      </c>
      <c r="I80" s="27"/>
      <c r="J80" s="27"/>
      <c r="K80" s="27"/>
      <c r="L80" s="27"/>
      <c r="M80" s="27"/>
      <c r="N80" s="27"/>
      <c r="O80" s="27"/>
      <c r="P80" s="27"/>
      <c r="Q80" s="27"/>
      <c r="R80" s="144"/>
      <c r="S80" s="3"/>
      <c r="T80" s="3"/>
      <c r="AV80" s="103"/>
      <c r="AW80" s="103"/>
      <c r="BI80" s="103"/>
      <c r="BJ80" s="103"/>
    </row>
    <row r="81" spans="1:62" x14ac:dyDescent="0.2">
      <c r="A81" s="103"/>
      <c r="B81" s="150"/>
      <c r="C81" s="27"/>
      <c r="D81" s="27" t="s">
        <v>183</v>
      </c>
      <c r="E81" s="27"/>
      <c r="F81" s="27"/>
      <c r="G81" s="27"/>
      <c r="H81" s="26" t="e">
        <f>(100-((H78/H79)*H80))</f>
        <v>#N/A</v>
      </c>
      <c r="I81" s="27"/>
      <c r="J81" s="27"/>
      <c r="K81" s="103"/>
      <c r="L81" s="27"/>
      <c r="M81" s="27"/>
      <c r="N81" s="27"/>
      <c r="O81" s="27"/>
      <c r="P81" s="27"/>
      <c r="Q81" s="27"/>
      <c r="R81" s="144"/>
      <c r="S81" s="3"/>
      <c r="T81" s="3"/>
      <c r="AV81" s="103"/>
      <c r="AW81" s="103"/>
      <c r="BI81" s="103"/>
      <c r="BJ81" s="103"/>
    </row>
    <row r="82" spans="1:62" x14ac:dyDescent="0.2">
      <c r="A82" s="103"/>
      <c r="B82" s="150"/>
      <c r="C82" s="27"/>
      <c r="D82" s="27" t="s">
        <v>184</v>
      </c>
      <c r="E82" s="27"/>
      <c r="F82" s="27"/>
      <c r="G82" s="27"/>
      <c r="H82" s="83"/>
      <c r="I82" s="27"/>
      <c r="J82" s="27"/>
      <c r="K82" s="27" t="s">
        <v>137</v>
      </c>
      <c r="L82" s="27"/>
      <c r="M82" s="27"/>
      <c r="N82" s="27"/>
      <c r="O82" s="27"/>
      <c r="P82" s="27"/>
      <c r="Q82" s="27"/>
      <c r="R82" s="144"/>
      <c r="S82" s="3"/>
      <c r="T82" s="3"/>
      <c r="AV82" s="103"/>
      <c r="AW82" s="103"/>
      <c r="BI82" s="103"/>
      <c r="BJ82" s="103"/>
    </row>
    <row r="83" spans="1:62" x14ac:dyDescent="0.2">
      <c r="A83" s="103"/>
      <c r="B83" s="150"/>
      <c r="C83" s="27"/>
      <c r="D83" s="27" t="s">
        <v>166</v>
      </c>
      <c r="E83" s="27"/>
      <c r="F83" s="27"/>
      <c r="G83" s="27"/>
      <c r="H83" s="26">
        <f>(H79*62.24-H82)/(H79*62.24)*100</f>
        <v>100</v>
      </c>
      <c r="I83" s="27"/>
      <c r="J83" s="27"/>
      <c r="K83" s="27" t="s">
        <v>138</v>
      </c>
      <c r="L83" s="27"/>
      <c r="M83" s="27"/>
      <c r="N83" s="27"/>
      <c r="O83" s="27" t="e">
        <f>IF(H81&lt;H83,"YES","NO")</f>
        <v>#N/A</v>
      </c>
      <c r="P83" s="27" t="s">
        <v>142</v>
      </c>
      <c r="Q83" s="27"/>
      <c r="R83" s="144"/>
      <c r="S83" s="3"/>
      <c r="T83" s="3"/>
      <c r="AV83" s="103"/>
      <c r="AW83" s="103"/>
      <c r="BI83" s="103"/>
      <c r="BJ83" s="103"/>
    </row>
    <row r="84" spans="1:62" x14ac:dyDescent="0.2">
      <c r="A84" s="103"/>
      <c r="B84" s="150"/>
      <c r="C84" s="27"/>
      <c r="D84" s="27" t="s">
        <v>240</v>
      </c>
      <c r="E84" s="27"/>
      <c r="F84" s="27"/>
      <c r="G84" s="27"/>
      <c r="H84" s="83"/>
      <c r="I84" s="157" t="s">
        <v>241</v>
      </c>
      <c r="J84" s="27"/>
      <c r="K84" s="27"/>
      <c r="L84" s="27"/>
      <c r="M84" s="27"/>
      <c r="N84" s="27"/>
      <c r="O84" s="27"/>
      <c r="P84" s="27"/>
      <c r="Q84" s="27"/>
      <c r="R84" s="144"/>
      <c r="S84" s="3"/>
      <c r="T84" s="3"/>
      <c r="AV84" s="103"/>
      <c r="AW84" s="103"/>
      <c r="BI84" s="103"/>
      <c r="BJ84" s="103"/>
    </row>
    <row r="85" spans="1:62" x14ac:dyDescent="0.2">
      <c r="A85" s="103"/>
      <c r="B85" s="150"/>
      <c r="C85" s="27"/>
      <c r="D85" s="27" t="s">
        <v>196</v>
      </c>
      <c r="E85" s="27"/>
      <c r="F85" s="27"/>
      <c r="G85" s="27"/>
      <c r="H85" s="161"/>
      <c r="I85" s="86" t="s">
        <v>197</v>
      </c>
      <c r="J85" s="27"/>
      <c r="K85" s="27"/>
      <c r="L85" s="27"/>
      <c r="M85" s="27"/>
      <c r="N85" s="27"/>
      <c r="O85" s="27"/>
      <c r="P85" s="27"/>
      <c r="Q85" s="27"/>
      <c r="R85" s="144"/>
      <c r="S85" s="3"/>
      <c r="T85" s="3"/>
      <c r="AV85" s="103"/>
      <c r="AW85" s="103"/>
      <c r="BI85" s="103"/>
      <c r="BJ85" s="103"/>
    </row>
    <row r="86" spans="1:62" x14ac:dyDescent="0.2">
      <c r="A86" s="103"/>
      <c r="B86" s="150"/>
      <c r="C86" s="27"/>
      <c r="D86" s="27" t="s">
        <v>200</v>
      </c>
      <c r="E86" s="27"/>
      <c r="F86" s="27"/>
      <c r="G86" s="27"/>
      <c r="H86" s="35"/>
      <c r="I86" s="86" t="s">
        <v>201</v>
      </c>
      <c r="J86" s="27"/>
      <c r="K86" s="27"/>
      <c r="L86" s="27"/>
      <c r="M86" s="27"/>
      <c r="N86" s="27"/>
      <c r="O86" s="27"/>
      <c r="P86" s="27"/>
      <c r="Q86" s="27"/>
      <c r="R86" s="144"/>
      <c r="S86" s="3"/>
      <c r="T86" s="3"/>
      <c r="AV86" s="103"/>
      <c r="AW86" s="103"/>
      <c r="BI86" s="103"/>
      <c r="BJ86" s="103"/>
    </row>
    <row r="87" spans="1:62" ht="13.5" thickBot="1" x14ac:dyDescent="0.25">
      <c r="A87" s="103"/>
      <c r="B87" s="148"/>
      <c r="C87" s="47"/>
      <c r="D87" s="47" t="s">
        <v>202</v>
      </c>
      <c r="E87" s="47"/>
      <c r="F87" s="47"/>
      <c r="G87" s="47"/>
      <c r="H87" s="69"/>
      <c r="I87" s="87" t="s">
        <v>203</v>
      </c>
      <c r="J87" s="47"/>
      <c r="K87" s="47"/>
      <c r="L87" s="47"/>
      <c r="M87" s="47"/>
      <c r="N87" s="47"/>
      <c r="O87" s="147"/>
      <c r="P87" s="47"/>
      <c r="Q87" s="47"/>
      <c r="R87" s="149"/>
      <c r="S87" s="3"/>
      <c r="T87" s="3"/>
      <c r="AV87" s="103"/>
      <c r="AW87" s="103"/>
      <c r="BI87" s="103"/>
      <c r="BJ87" s="103"/>
    </row>
    <row r="88" spans="1:62" x14ac:dyDescent="0.2">
      <c r="A88" s="103"/>
      <c r="B88" s="21"/>
      <c r="C88" s="22"/>
      <c r="D88" s="22"/>
      <c r="E88" s="22"/>
      <c r="F88" s="59"/>
      <c r="G88" s="59" t="s">
        <v>49</v>
      </c>
      <c r="H88" s="59"/>
      <c r="I88" s="59" t="s">
        <v>47</v>
      </c>
      <c r="J88" s="59"/>
      <c r="K88" s="59"/>
      <c r="L88" s="59"/>
      <c r="M88" s="103"/>
      <c r="N88" s="103"/>
      <c r="O88" s="59" t="s">
        <v>46</v>
      </c>
      <c r="P88" s="59"/>
      <c r="Q88" s="23">
        <v>41795</v>
      </c>
      <c r="R88" s="144"/>
      <c r="S88" s="3"/>
      <c r="T88" s="3"/>
      <c r="AV88" s="103"/>
      <c r="AW88" s="103"/>
      <c r="BI88" s="103"/>
      <c r="BJ88" s="103"/>
    </row>
    <row r="89" spans="1:62" ht="13.5" thickBot="1" x14ac:dyDescent="0.25">
      <c r="A89" s="103"/>
      <c r="B89" s="167" t="s">
        <v>45</v>
      </c>
      <c r="C89" s="168"/>
      <c r="D89" s="168"/>
      <c r="E89" s="168"/>
      <c r="F89" s="147"/>
      <c r="G89" s="147"/>
      <c r="H89" s="147"/>
      <c r="I89" s="147" t="s">
        <v>48</v>
      </c>
      <c r="J89" s="147"/>
      <c r="K89" s="47" t="s">
        <v>161</v>
      </c>
      <c r="L89" s="147"/>
      <c r="M89" s="114"/>
      <c r="N89" s="114"/>
      <c r="O89" s="147" t="str">
        <f>O43</f>
        <v>CDOT Form #429   05/18</v>
      </c>
      <c r="P89" s="147"/>
      <c r="Q89" s="47"/>
      <c r="R89" s="149"/>
      <c r="S89" s="3"/>
      <c r="T89" s="3"/>
      <c r="AV89" s="103"/>
      <c r="AW89" s="103"/>
      <c r="BI89" s="103"/>
      <c r="BJ89" s="103"/>
    </row>
    <row r="90" spans="1:62" x14ac:dyDescent="0.2">
      <c r="A90" s="103"/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BI90" s="103"/>
      <c r="BJ90" s="103"/>
    </row>
    <row r="91" spans="1:62" x14ac:dyDescent="0.2">
      <c r="A91" s="103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BI91" s="103"/>
      <c r="BJ91" s="103"/>
    </row>
    <row r="92" spans="1:62" x14ac:dyDescent="0.2">
      <c r="A92" s="103"/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BI92" s="103"/>
      <c r="BJ92" s="103"/>
    </row>
    <row r="93" spans="1:62" x14ac:dyDescent="0.2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BI93" s="103"/>
      <c r="BJ93" s="103"/>
    </row>
    <row r="94" spans="1:62" x14ac:dyDescent="0.2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BI94" s="103"/>
      <c r="BJ94" s="103"/>
    </row>
    <row r="95" spans="1:62" x14ac:dyDescent="0.2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BI95" s="103"/>
      <c r="BJ95" s="103"/>
    </row>
    <row r="96" spans="1:62" x14ac:dyDescent="0.2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BI96" s="103"/>
      <c r="BJ96" s="103"/>
    </row>
    <row r="97" spans="1:62" x14ac:dyDescent="0.2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BI97" s="103"/>
      <c r="BJ97" s="103"/>
    </row>
    <row r="98" spans="1:62" x14ac:dyDescent="0.2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BI98" s="103"/>
      <c r="BJ98" s="103"/>
    </row>
    <row r="99" spans="1:62" x14ac:dyDescent="0.2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BI99" s="103"/>
      <c r="BJ99" s="103"/>
    </row>
    <row r="100" spans="1:62" x14ac:dyDescent="0.2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BI100" s="103"/>
      <c r="BJ100" s="103"/>
    </row>
    <row r="101" spans="1:62" x14ac:dyDescent="0.2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BI101" s="103"/>
      <c r="BJ101" s="103"/>
    </row>
    <row r="102" spans="1:62" x14ac:dyDescent="0.2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BI102" s="103"/>
      <c r="BJ102" s="103"/>
    </row>
    <row r="103" spans="1:62" x14ac:dyDescent="0.2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BI103" s="103"/>
      <c r="BJ103" s="103"/>
    </row>
    <row r="104" spans="1:62" x14ac:dyDescent="0.2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BI104" s="103"/>
      <c r="BJ104" s="103"/>
    </row>
    <row r="105" spans="1:62" x14ac:dyDescent="0.2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BI105" s="103"/>
      <c r="BJ105" s="103"/>
    </row>
    <row r="106" spans="1:62" x14ac:dyDescent="0.2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BI106" s="103"/>
      <c r="BJ106" s="103"/>
    </row>
    <row r="107" spans="1:62" x14ac:dyDescent="0.2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BI107" s="103"/>
      <c r="BJ107" s="103"/>
    </row>
    <row r="108" spans="1:62" x14ac:dyDescent="0.2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BI108" s="103"/>
      <c r="BJ108" s="103"/>
    </row>
    <row r="109" spans="1:62" x14ac:dyDescent="0.2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BI109" s="103"/>
      <c r="BJ109" s="103"/>
    </row>
    <row r="110" spans="1:62" x14ac:dyDescent="0.2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BI110" s="103"/>
      <c r="BJ110" s="103"/>
    </row>
    <row r="111" spans="1:62" x14ac:dyDescent="0.2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BI111" s="103"/>
      <c r="BJ111" s="103"/>
    </row>
    <row r="112" spans="1:62" x14ac:dyDescent="0.2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BI112" s="103"/>
      <c r="BJ112" s="103"/>
    </row>
    <row r="113" spans="1:62" x14ac:dyDescent="0.2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BI113" s="103"/>
      <c r="BJ113" s="103"/>
    </row>
    <row r="114" spans="1:62" x14ac:dyDescent="0.2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BI114" s="103"/>
      <c r="BJ114" s="103"/>
    </row>
    <row r="115" spans="1:62" x14ac:dyDescent="0.2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BI115" s="103"/>
      <c r="BJ115" s="103"/>
    </row>
    <row r="116" spans="1:62" x14ac:dyDescent="0.2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BI116" s="103"/>
      <c r="BJ116" s="103"/>
    </row>
    <row r="117" spans="1:62" x14ac:dyDescent="0.2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BI117" s="103"/>
      <c r="BJ117" s="103"/>
    </row>
    <row r="118" spans="1:62" x14ac:dyDescent="0.2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BI118" s="103"/>
      <c r="BJ118" s="103"/>
    </row>
    <row r="119" spans="1:62" x14ac:dyDescent="0.2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BI119" s="103"/>
      <c r="BJ119" s="103"/>
    </row>
    <row r="120" spans="1:62" x14ac:dyDescent="0.2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BI120" s="103"/>
      <c r="BJ120" s="103"/>
    </row>
    <row r="121" spans="1:62" x14ac:dyDescent="0.2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BI121" s="103"/>
      <c r="BJ121" s="103"/>
    </row>
    <row r="122" spans="1:62" x14ac:dyDescent="0.2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BI122" s="103"/>
      <c r="BJ122" s="103"/>
    </row>
    <row r="123" spans="1:62" x14ac:dyDescent="0.2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BI123" s="103"/>
      <c r="BJ123" s="103"/>
    </row>
    <row r="124" spans="1:62" x14ac:dyDescent="0.2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BI124" s="103"/>
      <c r="BJ124" s="103"/>
    </row>
    <row r="125" spans="1:62" x14ac:dyDescent="0.2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BI125" s="103"/>
      <c r="BJ125" s="103"/>
    </row>
    <row r="126" spans="1:62" x14ac:dyDescent="0.2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BI126" s="103"/>
      <c r="BJ126" s="103"/>
    </row>
    <row r="127" spans="1:62" x14ac:dyDescent="0.2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BI127" s="103"/>
      <c r="BJ127" s="103"/>
    </row>
    <row r="128" spans="1:62" x14ac:dyDescent="0.2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BI128" s="103"/>
      <c r="BJ128" s="103"/>
    </row>
    <row r="129" spans="1:62" x14ac:dyDescent="0.2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BI129" s="103"/>
      <c r="BJ129" s="103"/>
    </row>
    <row r="130" spans="1:62" x14ac:dyDescent="0.2">
      <c r="A130" s="103"/>
      <c r="B130" s="103"/>
      <c r="C130" s="103"/>
      <c r="D130" s="103"/>
      <c r="E130" s="24"/>
      <c r="F130" s="103"/>
      <c r="G130" s="103"/>
      <c r="H130" s="103"/>
      <c r="I130" s="103"/>
      <c r="J130" s="103"/>
      <c r="K130" s="103"/>
      <c r="L130" s="103"/>
      <c r="M130" s="103"/>
      <c r="N130" s="103"/>
      <c r="O130" s="59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BI130" s="103"/>
      <c r="BJ130" s="103"/>
    </row>
    <row r="131" spans="1:62" x14ac:dyDescent="0.2">
      <c r="A131" s="103"/>
      <c r="B131" s="103"/>
      <c r="C131" s="103"/>
      <c r="D131" s="103"/>
      <c r="E131" s="24" t="str">
        <f>B1</f>
        <v>Earth Engineering</v>
      </c>
      <c r="F131" s="103"/>
      <c r="G131" s="103"/>
      <c r="H131" s="103"/>
      <c r="I131" s="103"/>
      <c r="J131" s="103"/>
      <c r="K131" s="103"/>
      <c r="L131" s="103"/>
      <c r="M131" s="103"/>
      <c r="N131" s="103"/>
      <c r="O131" s="59" t="str">
        <f>O43</f>
        <v>CDOT Form #429   05/18</v>
      </c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BI131" s="103"/>
      <c r="BJ131" s="103"/>
    </row>
    <row r="132" spans="1:62" x14ac:dyDescent="0.2">
      <c r="A132" s="103"/>
      <c r="B132" s="103"/>
      <c r="C132" s="103"/>
      <c r="D132" s="103"/>
      <c r="E132" s="24" t="str">
        <f>O1</f>
        <v>Lab Mix No.:</v>
      </c>
      <c r="F132" s="103"/>
      <c r="G132" s="24" t="str">
        <f>Q1</f>
        <v>ABC</v>
      </c>
      <c r="H132" s="103"/>
      <c r="I132" s="103"/>
      <c r="J132" s="103"/>
      <c r="K132" s="24" t="s">
        <v>185</v>
      </c>
      <c r="L132" s="103"/>
      <c r="M132" s="103"/>
      <c r="N132" s="103"/>
      <c r="O132" s="59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BI132" s="103"/>
      <c r="BJ132" s="103"/>
    </row>
    <row r="133" spans="1:62" x14ac:dyDescent="0.2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BI133" s="103"/>
      <c r="BJ133" s="103"/>
    </row>
    <row r="134" spans="1:62" x14ac:dyDescent="0.2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BI134" s="103"/>
      <c r="BJ134" s="103"/>
    </row>
    <row r="135" spans="1:62" x14ac:dyDescent="0.2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BI135" s="103"/>
      <c r="BJ135" s="103"/>
    </row>
    <row r="136" spans="1:62" x14ac:dyDescent="0.2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BI136" s="103"/>
      <c r="BJ136" s="103"/>
    </row>
    <row r="137" spans="1:62" x14ac:dyDescent="0.2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BI137" s="103"/>
      <c r="BJ137" s="103"/>
    </row>
    <row r="138" spans="1:62" x14ac:dyDescent="0.2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BI138" s="103"/>
      <c r="BJ138" s="103"/>
    </row>
    <row r="139" spans="1:62" x14ac:dyDescent="0.2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BI139" s="103"/>
      <c r="BJ139" s="103"/>
    </row>
    <row r="140" spans="1:62" x14ac:dyDescent="0.2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BI140" s="103"/>
      <c r="BJ140" s="103"/>
    </row>
    <row r="141" spans="1:62" x14ac:dyDescent="0.2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BI141" s="103"/>
      <c r="BJ141" s="103"/>
    </row>
    <row r="142" spans="1:62" x14ac:dyDescent="0.2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BI142" s="103"/>
      <c r="BJ142" s="103"/>
    </row>
    <row r="143" spans="1:62" x14ac:dyDescent="0.2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BI143" s="103"/>
      <c r="BJ143" s="103"/>
    </row>
    <row r="144" spans="1:62" x14ac:dyDescent="0.2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BI144" s="103"/>
      <c r="BJ144" s="103"/>
    </row>
    <row r="145" spans="1:62" x14ac:dyDescent="0.2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BI145" s="103"/>
      <c r="BJ145" s="103"/>
    </row>
    <row r="146" spans="1:62" x14ac:dyDescent="0.2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BI146" s="103"/>
      <c r="BJ146" s="103"/>
    </row>
    <row r="147" spans="1:62" x14ac:dyDescent="0.2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BI147" s="103"/>
      <c r="BJ147" s="103"/>
    </row>
    <row r="148" spans="1:62" x14ac:dyDescent="0.2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BI148" s="103"/>
      <c r="BJ148" s="103"/>
    </row>
    <row r="149" spans="1:62" x14ac:dyDescent="0.2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BI149" s="103"/>
      <c r="BJ149" s="103"/>
    </row>
    <row r="150" spans="1:62" x14ac:dyDescent="0.2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BI150" s="103"/>
      <c r="BJ150" s="103"/>
    </row>
    <row r="151" spans="1:62" x14ac:dyDescent="0.2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BI151" s="103"/>
      <c r="BJ151" s="103"/>
    </row>
    <row r="152" spans="1:62" x14ac:dyDescent="0.2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BI152" s="103"/>
      <c r="BJ152" s="103"/>
    </row>
    <row r="153" spans="1:62" x14ac:dyDescent="0.2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BI153" s="103"/>
      <c r="BJ153" s="103"/>
    </row>
    <row r="154" spans="1:62" x14ac:dyDescent="0.2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BI154" s="103"/>
      <c r="BJ154" s="103"/>
    </row>
    <row r="155" spans="1:62" x14ac:dyDescent="0.2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BI155" s="103"/>
      <c r="BJ155" s="103"/>
    </row>
    <row r="156" spans="1:62" x14ac:dyDescent="0.2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BI156" s="103"/>
      <c r="BJ156" s="103"/>
    </row>
    <row r="157" spans="1:62" x14ac:dyDescent="0.2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BI157" s="103"/>
      <c r="BJ157" s="103"/>
    </row>
    <row r="158" spans="1:62" x14ac:dyDescent="0.2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BI158" s="103"/>
      <c r="BJ158" s="103"/>
    </row>
    <row r="159" spans="1:62" x14ac:dyDescent="0.2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BI159" s="103"/>
      <c r="BJ159" s="103"/>
    </row>
    <row r="160" spans="1:62" x14ac:dyDescent="0.2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BI160" s="103"/>
      <c r="BJ160" s="103"/>
    </row>
    <row r="161" spans="1:62" x14ac:dyDescent="0.2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BI161" s="103"/>
      <c r="BJ161" s="103"/>
    </row>
    <row r="162" spans="1:62" x14ac:dyDescent="0.2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BI162" s="103"/>
      <c r="BJ162" s="103"/>
    </row>
    <row r="163" spans="1:62" x14ac:dyDescent="0.2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BI163" s="103"/>
      <c r="BJ163" s="103"/>
    </row>
    <row r="164" spans="1:62" x14ac:dyDescent="0.2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BI164" s="103"/>
      <c r="BJ164" s="103"/>
    </row>
    <row r="165" spans="1:62" x14ac:dyDescent="0.2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BI165" s="103"/>
      <c r="BJ165" s="103"/>
    </row>
    <row r="166" spans="1:62" x14ac:dyDescent="0.2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BI166" s="103"/>
      <c r="BJ166" s="103"/>
    </row>
    <row r="167" spans="1:62" x14ac:dyDescent="0.2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BI167" s="103"/>
      <c r="BJ167" s="103"/>
    </row>
    <row r="168" spans="1:62" x14ac:dyDescent="0.2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BI168" s="103"/>
      <c r="BJ168" s="103"/>
    </row>
    <row r="169" spans="1:62" x14ac:dyDescent="0.2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BI169" s="103"/>
      <c r="BJ169" s="103"/>
    </row>
    <row r="170" spans="1:62" x14ac:dyDescent="0.2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BI170" s="103"/>
      <c r="BJ170" s="103"/>
    </row>
    <row r="171" spans="1:62" x14ac:dyDescent="0.2">
      <c r="A171" s="103"/>
      <c r="B171" s="103"/>
      <c r="C171" s="103"/>
      <c r="D171" s="103"/>
      <c r="E171" s="24"/>
      <c r="F171" s="103"/>
      <c r="G171" s="24"/>
      <c r="H171" s="103"/>
      <c r="I171" s="103"/>
      <c r="J171" s="103"/>
      <c r="K171" s="24"/>
      <c r="L171" s="103"/>
      <c r="M171" s="103"/>
      <c r="N171" s="103"/>
      <c r="O171" s="59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BI171" s="103"/>
      <c r="BJ171" s="103"/>
    </row>
    <row r="172" spans="1:62" x14ac:dyDescent="0.2">
      <c r="A172" s="103"/>
      <c r="B172" s="103"/>
      <c r="C172" s="103"/>
      <c r="D172" s="103"/>
      <c r="E172" s="24"/>
      <c r="F172" s="103"/>
      <c r="G172" s="24"/>
      <c r="H172" s="103"/>
      <c r="I172" s="103"/>
      <c r="J172" s="103"/>
      <c r="K172" s="24"/>
      <c r="L172" s="103"/>
      <c r="M172" s="103"/>
      <c r="N172" s="103"/>
      <c r="O172" s="59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BI172" s="103"/>
      <c r="BJ172" s="103"/>
    </row>
    <row r="173" spans="1:62" x14ac:dyDescent="0.2">
      <c r="A173" s="103"/>
      <c r="B173" s="103"/>
      <c r="C173" s="103"/>
      <c r="D173" s="103"/>
      <c r="E173" s="24"/>
      <c r="F173" s="103"/>
      <c r="G173" s="24"/>
      <c r="H173" s="103"/>
      <c r="I173" s="103"/>
      <c r="J173" s="103"/>
      <c r="K173" s="24"/>
      <c r="L173" s="103"/>
      <c r="M173" s="103"/>
      <c r="N173" s="103"/>
      <c r="O173" s="59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BI173" s="103"/>
      <c r="BJ173" s="103"/>
    </row>
    <row r="174" spans="1:62" x14ac:dyDescent="0.2">
      <c r="A174" s="103"/>
      <c r="B174" s="103"/>
      <c r="C174" s="103"/>
      <c r="D174" s="103"/>
      <c r="E174" s="24" t="str">
        <f>B1</f>
        <v>Earth Engineering</v>
      </c>
      <c r="F174" s="103"/>
      <c r="G174" s="103"/>
      <c r="H174" s="103"/>
      <c r="I174" s="103"/>
      <c r="J174" s="103"/>
      <c r="K174" s="103"/>
      <c r="L174" s="103"/>
      <c r="M174" s="103"/>
      <c r="N174" s="103"/>
      <c r="O174" s="59" t="str">
        <f>O43</f>
        <v>CDOT Form #429   05/18</v>
      </c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BI174" s="103"/>
      <c r="BJ174" s="103"/>
    </row>
    <row r="175" spans="1:62" x14ac:dyDescent="0.2">
      <c r="A175" s="103"/>
      <c r="B175" s="103"/>
      <c r="C175" s="103"/>
      <c r="D175" s="103"/>
      <c r="E175" s="24" t="str">
        <f>O1</f>
        <v>Lab Mix No.:</v>
      </c>
      <c r="F175" s="103"/>
      <c r="G175" s="24" t="str">
        <f>Q1</f>
        <v>ABC</v>
      </c>
      <c r="H175" s="103"/>
      <c r="I175" s="103"/>
      <c r="J175" s="103"/>
      <c r="K175" s="24" t="s">
        <v>189</v>
      </c>
      <c r="L175" s="103"/>
      <c r="M175" s="103"/>
      <c r="N175" s="103"/>
      <c r="O175" s="59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BI175" s="103"/>
      <c r="BJ175" s="103"/>
    </row>
    <row r="176" spans="1:62" x14ac:dyDescent="0.2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BI176" s="103"/>
      <c r="BJ176" s="103"/>
    </row>
    <row r="177" spans="1:62" x14ac:dyDescent="0.2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BI177" s="103"/>
      <c r="BJ177" s="103"/>
    </row>
    <row r="178" spans="1:62" x14ac:dyDescent="0.2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BI178" s="103"/>
      <c r="BJ178" s="103"/>
    </row>
    <row r="179" spans="1:62" x14ac:dyDescent="0.2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BI179" s="103"/>
      <c r="BJ179" s="103"/>
    </row>
    <row r="180" spans="1:62" x14ac:dyDescent="0.2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BI180" s="103"/>
      <c r="BJ180" s="103"/>
    </row>
    <row r="181" spans="1:62" x14ac:dyDescent="0.2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BI181" s="103"/>
      <c r="BJ181" s="103"/>
    </row>
    <row r="182" spans="1:62" x14ac:dyDescent="0.2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BI182" s="103"/>
      <c r="BJ182" s="103"/>
    </row>
    <row r="183" spans="1:62" x14ac:dyDescent="0.2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BI183" s="103"/>
      <c r="BJ183" s="103"/>
    </row>
    <row r="184" spans="1:62" x14ac:dyDescent="0.2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BI184" s="103"/>
      <c r="BJ184" s="103"/>
    </row>
    <row r="185" spans="1:62" x14ac:dyDescent="0.2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BI185" s="103"/>
      <c r="BJ185" s="103"/>
    </row>
    <row r="186" spans="1:62" x14ac:dyDescent="0.2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BI186" s="103"/>
      <c r="BJ186" s="103"/>
    </row>
    <row r="187" spans="1:62" x14ac:dyDescent="0.2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BI187" s="103"/>
      <c r="BJ187" s="103"/>
    </row>
    <row r="188" spans="1:62" x14ac:dyDescent="0.2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BI188" s="103"/>
      <c r="BJ188" s="103"/>
    </row>
    <row r="189" spans="1:62" x14ac:dyDescent="0.2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BI189" s="103"/>
      <c r="BJ189" s="103"/>
    </row>
    <row r="190" spans="1:62" x14ac:dyDescent="0.2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BI190" s="103"/>
      <c r="BJ190" s="103"/>
    </row>
    <row r="191" spans="1:62" x14ac:dyDescent="0.2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BI191" s="103"/>
      <c r="BJ191" s="103"/>
    </row>
    <row r="192" spans="1:62" x14ac:dyDescent="0.2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BI192" s="103"/>
      <c r="BJ192" s="103"/>
    </row>
    <row r="193" spans="1:62" x14ac:dyDescent="0.2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BI193" s="103"/>
      <c r="BJ193" s="103"/>
    </row>
    <row r="194" spans="1:62" x14ac:dyDescent="0.2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BI194" s="103"/>
      <c r="BJ194" s="103"/>
    </row>
    <row r="195" spans="1:62" x14ac:dyDescent="0.2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BI195" s="103"/>
      <c r="BJ195" s="103"/>
    </row>
    <row r="196" spans="1:62" x14ac:dyDescent="0.2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BI196" s="103"/>
      <c r="BJ196" s="103"/>
    </row>
    <row r="197" spans="1:62" x14ac:dyDescent="0.2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BI197" s="103"/>
      <c r="BJ197" s="103"/>
    </row>
    <row r="198" spans="1:62" x14ac:dyDescent="0.2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BI198" s="103"/>
      <c r="BJ198" s="103"/>
    </row>
    <row r="199" spans="1:62" x14ac:dyDescent="0.2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BI199" s="103"/>
      <c r="BJ199" s="103"/>
    </row>
    <row r="200" spans="1:62" x14ac:dyDescent="0.2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BI200" s="103"/>
      <c r="BJ200" s="103"/>
    </row>
    <row r="201" spans="1:62" x14ac:dyDescent="0.2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BI201" s="103"/>
      <c r="BJ201" s="103"/>
    </row>
    <row r="202" spans="1:62" x14ac:dyDescent="0.2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BI202" s="103"/>
      <c r="BJ202" s="103"/>
    </row>
    <row r="203" spans="1:62" x14ac:dyDescent="0.2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BI203" s="103"/>
      <c r="BJ203" s="103"/>
    </row>
    <row r="204" spans="1:62" x14ac:dyDescent="0.2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BI204" s="103"/>
      <c r="BJ204" s="103"/>
    </row>
    <row r="205" spans="1:62" x14ac:dyDescent="0.2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BI205" s="103"/>
      <c r="BJ205" s="103"/>
    </row>
    <row r="206" spans="1:62" x14ac:dyDescent="0.2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BI206" s="103"/>
      <c r="BJ206" s="103"/>
    </row>
    <row r="207" spans="1:62" x14ac:dyDescent="0.2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BI207" s="103"/>
      <c r="BJ207" s="103"/>
    </row>
    <row r="208" spans="1:62" x14ac:dyDescent="0.2">
      <c r="A208" s="103"/>
      <c r="B208" s="103"/>
      <c r="C208" s="103"/>
      <c r="D208" s="103"/>
      <c r="E208" s="24" t="str">
        <f>B1</f>
        <v>Earth Engineering</v>
      </c>
      <c r="F208" s="103"/>
      <c r="G208" s="103"/>
      <c r="H208" s="103"/>
      <c r="I208" s="103"/>
      <c r="J208" s="103"/>
      <c r="K208" s="103"/>
      <c r="L208" s="103"/>
      <c r="M208" s="103"/>
      <c r="N208" s="103"/>
      <c r="O208" s="59" t="str">
        <f>O43</f>
        <v>CDOT Form #429   05/18</v>
      </c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BI208" s="103"/>
      <c r="BJ208" s="103"/>
    </row>
    <row r="209" spans="1:62" x14ac:dyDescent="0.2">
      <c r="A209" s="103"/>
      <c r="B209" s="103"/>
      <c r="C209" s="103"/>
      <c r="D209" s="103"/>
      <c r="E209" s="24" t="str">
        <f>O1</f>
        <v>Lab Mix No.:</v>
      </c>
      <c r="F209" s="103"/>
      <c r="G209" s="24" t="str">
        <f>Q1</f>
        <v>ABC</v>
      </c>
      <c r="H209" s="103"/>
      <c r="I209" s="103"/>
      <c r="J209" s="103"/>
      <c r="K209" s="24" t="s">
        <v>188</v>
      </c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BI209" s="103"/>
      <c r="BJ209" s="103"/>
    </row>
    <row r="210" spans="1:62" x14ac:dyDescent="0.2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BI210" s="103"/>
      <c r="BJ210" s="103"/>
    </row>
    <row r="211" spans="1:62" x14ac:dyDescent="0.2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BI211" s="103"/>
      <c r="BJ211" s="103"/>
    </row>
    <row r="212" spans="1:62" x14ac:dyDescent="0.2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BI212" s="103"/>
      <c r="BJ212" s="103"/>
    </row>
    <row r="213" spans="1:62" x14ac:dyDescent="0.2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BI213" s="103"/>
      <c r="BJ213" s="103"/>
    </row>
    <row r="214" spans="1:62" x14ac:dyDescent="0.2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BI214" s="103"/>
      <c r="BJ214" s="103"/>
    </row>
    <row r="215" spans="1:62" x14ac:dyDescent="0.2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BI215" s="103"/>
      <c r="BJ215" s="103"/>
    </row>
    <row r="216" spans="1:62" x14ac:dyDescent="0.2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BI216" s="103"/>
      <c r="BJ216" s="103"/>
    </row>
    <row r="217" spans="1:62" x14ac:dyDescent="0.2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BI217" s="103"/>
      <c r="BJ217" s="103"/>
    </row>
    <row r="218" spans="1:62" x14ac:dyDescent="0.2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BI218" s="103"/>
      <c r="BJ218" s="103"/>
    </row>
    <row r="219" spans="1:62" x14ac:dyDescent="0.2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BI219" s="103"/>
      <c r="BJ219" s="103"/>
    </row>
    <row r="220" spans="1:62" x14ac:dyDescent="0.2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BI220" s="103"/>
      <c r="BJ220" s="103"/>
    </row>
    <row r="221" spans="1:62" x14ac:dyDescent="0.2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BI221" s="103"/>
      <c r="BJ221" s="103"/>
    </row>
    <row r="222" spans="1:62" x14ac:dyDescent="0.2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BI222" s="103"/>
      <c r="BJ222" s="103"/>
    </row>
    <row r="223" spans="1:62" x14ac:dyDescent="0.2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BI223" s="103"/>
      <c r="BJ223" s="103"/>
    </row>
    <row r="224" spans="1:62" x14ac:dyDescent="0.2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BI224" s="103"/>
      <c r="BJ224" s="103"/>
    </row>
    <row r="225" spans="1:62" x14ac:dyDescent="0.2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BI225" s="103"/>
      <c r="BJ225" s="103"/>
    </row>
    <row r="226" spans="1:62" x14ac:dyDescent="0.2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BI226" s="103"/>
      <c r="BJ226" s="103"/>
    </row>
    <row r="227" spans="1:62" x14ac:dyDescent="0.2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BI227" s="103"/>
      <c r="BJ227" s="103"/>
    </row>
    <row r="228" spans="1:62" x14ac:dyDescent="0.2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BI228" s="103"/>
      <c r="BJ228" s="103"/>
    </row>
    <row r="229" spans="1:62" x14ac:dyDescent="0.2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BI229" s="103"/>
      <c r="BJ229" s="103"/>
    </row>
    <row r="230" spans="1:62" x14ac:dyDescent="0.2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BI230" s="103"/>
      <c r="BJ230" s="103"/>
    </row>
    <row r="231" spans="1:62" x14ac:dyDescent="0.2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BI231" s="103"/>
      <c r="BJ231" s="103"/>
    </row>
    <row r="232" spans="1:62" x14ac:dyDescent="0.2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BI232" s="103"/>
      <c r="BJ232" s="103"/>
    </row>
    <row r="233" spans="1:62" x14ac:dyDescent="0.2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BI233" s="103"/>
      <c r="BJ233" s="103"/>
    </row>
    <row r="234" spans="1:62" x14ac:dyDescent="0.2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BI234" s="103"/>
      <c r="BJ234" s="103"/>
    </row>
    <row r="235" spans="1:62" x14ac:dyDescent="0.2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BI235" s="103"/>
      <c r="BJ235" s="103"/>
    </row>
    <row r="236" spans="1:62" x14ac:dyDescent="0.2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BI236" s="103"/>
      <c r="BJ236" s="103"/>
    </row>
    <row r="237" spans="1:62" x14ac:dyDescent="0.2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BI237" s="103"/>
      <c r="BJ237" s="103"/>
    </row>
    <row r="238" spans="1:62" x14ac:dyDescent="0.2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BI238" s="103"/>
      <c r="BJ238" s="103"/>
    </row>
    <row r="239" spans="1:62" x14ac:dyDescent="0.2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BI239" s="103"/>
      <c r="BJ239" s="103"/>
    </row>
    <row r="240" spans="1:62" x14ac:dyDescent="0.2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BI240" s="103"/>
      <c r="BJ240" s="103"/>
    </row>
    <row r="241" spans="1:62" x14ac:dyDescent="0.2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BI241" s="103"/>
      <c r="BJ241" s="103"/>
    </row>
    <row r="242" spans="1:62" x14ac:dyDescent="0.2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BI242" s="103"/>
      <c r="BJ242" s="103"/>
    </row>
    <row r="243" spans="1:62" x14ac:dyDescent="0.2">
      <c r="A243" s="103"/>
      <c r="B243" s="103"/>
      <c r="C243" s="103"/>
      <c r="D243" s="103"/>
      <c r="E243" s="156"/>
      <c r="F243" s="24"/>
      <c r="G243" s="158"/>
      <c r="H243" s="24"/>
      <c r="I243" s="24"/>
      <c r="J243" s="24"/>
      <c r="K243" s="24"/>
      <c r="L243" s="103"/>
      <c r="M243" s="24"/>
      <c r="N243" s="24"/>
      <c r="O243" s="103"/>
      <c r="P243" s="24"/>
      <c r="Q243" s="24" t="s">
        <v>22</v>
      </c>
      <c r="R243" s="24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BI243" s="103"/>
      <c r="BJ243" s="103"/>
    </row>
    <row r="244" spans="1:62" x14ac:dyDescent="0.2">
      <c r="A244" s="103"/>
      <c r="B244" s="103"/>
      <c r="C244" s="103"/>
      <c r="D244" s="103"/>
      <c r="E244" s="156"/>
      <c r="F244" s="24"/>
      <c r="G244" s="158"/>
      <c r="H244" s="24"/>
      <c r="I244" s="24"/>
      <c r="J244" s="24"/>
      <c r="K244" s="24"/>
      <c r="L244" s="103"/>
      <c r="M244" s="24"/>
      <c r="N244" s="24"/>
      <c r="O244" s="103"/>
      <c r="P244" s="24"/>
      <c r="Q244" s="24"/>
      <c r="R244" s="24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BI244" s="103"/>
      <c r="BJ244" s="103"/>
    </row>
    <row r="245" spans="1:62" x14ac:dyDescent="0.2">
      <c r="A245" s="103"/>
      <c r="B245" s="103"/>
      <c r="C245" s="103"/>
      <c r="D245" s="103"/>
      <c r="E245" s="156"/>
      <c r="F245" s="24"/>
      <c r="G245" s="158"/>
      <c r="H245" s="24"/>
      <c r="I245" s="24"/>
      <c r="J245" s="24"/>
      <c r="K245" s="24"/>
      <c r="L245" s="103"/>
      <c r="M245" s="24"/>
      <c r="N245" s="24"/>
      <c r="O245" s="103"/>
      <c r="P245" s="24"/>
      <c r="Q245" s="24"/>
      <c r="R245" s="24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BI245" s="103"/>
      <c r="BJ245" s="103"/>
    </row>
    <row r="246" spans="1:62" x14ac:dyDescent="0.2">
      <c r="A246" s="103"/>
      <c r="B246" s="103"/>
      <c r="C246" s="103"/>
      <c r="D246" s="103"/>
      <c r="E246" s="156"/>
      <c r="F246" s="24"/>
      <c r="G246" s="158"/>
      <c r="H246" s="24"/>
      <c r="I246" s="24"/>
      <c r="J246" s="24"/>
      <c r="K246" s="24"/>
      <c r="L246" s="103"/>
      <c r="M246" s="24"/>
      <c r="N246" s="24"/>
      <c r="O246" s="103"/>
      <c r="P246" s="24"/>
      <c r="Q246" s="24"/>
      <c r="R246" s="24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BI246" s="103"/>
      <c r="BJ246" s="103"/>
    </row>
    <row r="247" spans="1:62" x14ac:dyDescent="0.2">
      <c r="A247" s="103"/>
      <c r="B247" s="103"/>
      <c r="C247" s="103"/>
      <c r="D247" s="103"/>
      <c r="E247" s="156"/>
      <c r="F247" s="24"/>
      <c r="G247" s="158"/>
      <c r="H247" s="24"/>
      <c r="I247" s="24"/>
      <c r="J247" s="24"/>
      <c r="K247" s="24"/>
      <c r="L247" s="103"/>
      <c r="M247" s="24"/>
      <c r="N247" s="24"/>
      <c r="O247" s="103"/>
      <c r="P247" s="24"/>
      <c r="Q247" s="24"/>
      <c r="R247" s="24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BI247" s="103"/>
      <c r="BJ247" s="103"/>
    </row>
    <row r="248" spans="1:62" x14ac:dyDescent="0.2">
      <c r="A248" s="103"/>
      <c r="B248" s="103"/>
      <c r="C248" s="103"/>
      <c r="D248" s="103"/>
      <c r="E248" s="156"/>
      <c r="F248" s="24"/>
      <c r="G248" s="158"/>
      <c r="H248" s="24"/>
      <c r="I248" s="24"/>
      <c r="J248" s="24"/>
      <c r="K248" s="24"/>
      <c r="L248" s="103"/>
      <c r="M248" s="24"/>
      <c r="N248" s="24"/>
      <c r="O248" s="103"/>
      <c r="P248" s="24"/>
      <c r="Q248" s="24"/>
      <c r="R248" s="24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BI248" s="103"/>
      <c r="BJ248" s="103"/>
    </row>
    <row r="249" spans="1:62" x14ac:dyDescent="0.2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BI249" s="103"/>
      <c r="BJ249" s="103"/>
    </row>
    <row r="250" spans="1:62" ht="20.25" x14ac:dyDescent="0.3">
      <c r="A250" s="103"/>
      <c r="B250" s="103"/>
      <c r="C250" s="103"/>
      <c r="D250" s="24" t="str">
        <f>B1</f>
        <v>Earth Engineering</v>
      </c>
      <c r="E250" s="103"/>
      <c r="F250" s="103"/>
      <c r="G250" s="103"/>
      <c r="H250" s="159" t="s">
        <v>68</v>
      </c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BI250" s="103"/>
      <c r="BJ250" s="103"/>
    </row>
    <row r="251" spans="1:62" x14ac:dyDescent="0.2">
      <c r="A251" s="103"/>
      <c r="B251" s="103"/>
      <c r="C251" s="103"/>
      <c r="D251" s="24" t="str">
        <f>O1</f>
        <v>Lab Mix No.:</v>
      </c>
      <c r="E251" s="103"/>
      <c r="F251" s="24" t="str">
        <f>Q1</f>
        <v>ABC</v>
      </c>
      <c r="G251" s="103"/>
      <c r="H251" s="103"/>
      <c r="I251" s="103"/>
      <c r="J251" s="103"/>
      <c r="K251" s="24" t="s">
        <v>187</v>
      </c>
      <c r="L251" s="103"/>
      <c r="M251" s="103"/>
      <c r="N251" s="103"/>
      <c r="O251" s="59" t="str">
        <f>O43</f>
        <v>CDOT Form #429   05/18</v>
      </c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BI251" s="103"/>
      <c r="BJ251" s="103"/>
    </row>
  </sheetData>
  <sheetProtection algorithmName="SHA-512" hashValue="zsPqdjzescGQioQvCvE4hJwVxLEuyY41S5Ph0N1SX7Jv79pwyKopVWTVWbpSoZQnDCSM615gNL0vR9IR8z/yxQ==" saltValue="qdfGEhkZGdODS04KCEXROA==" spinCount="100000" sheet="1" objects="1" scenarios="1"/>
  <dataConsolidate/>
  <mergeCells count="17">
    <mergeCell ref="F10:K10"/>
    <mergeCell ref="M10:O10"/>
    <mergeCell ref="AT38:AU38"/>
    <mergeCell ref="AV38:AW38"/>
    <mergeCell ref="BI38:BJ38"/>
    <mergeCell ref="AP38:AQ38"/>
    <mergeCell ref="AR38:AS38"/>
    <mergeCell ref="B45:H45"/>
    <mergeCell ref="AH38:AI38"/>
    <mergeCell ref="AJ38:AK38"/>
    <mergeCell ref="AL38:AM38"/>
    <mergeCell ref="AN38:AO38"/>
    <mergeCell ref="B1:H1"/>
    <mergeCell ref="J3:K3"/>
    <mergeCell ref="G6:H6"/>
    <mergeCell ref="G7:H7"/>
    <mergeCell ref="Q7:R7"/>
  </mergeCells>
  <conditionalFormatting sqref="Q29">
    <cfRule type="containsText" dxfId="31" priority="16" operator="containsText" text="#N/A">
      <formula>NOT(ISERROR(SEARCH("#N/A",Q29)))</formula>
    </cfRule>
  </conditionalFormatting>
  <conditionalFormatting sqref="Q17:R28">
    <cfRule type="containsErrors" dxfId="30" priority="15">
      <formula>ISERROR(Q17)</formula>
    </cfRule>
  </conditionalFormatting>
  <conditionalFormatting sqref="O83:O87">
    <cfRule type="containsText" dxfId="29" priority="13" operator="containsText" text="YES">
      <formula>NOT(ISERROR(SEARCH("YES",O83)))</formula>
    </cfRule>
    <cfRule type="containsText" dxfId="28" priority="14" operator="containsText" text="NO">
      <formula>NOT(ISERROR(SEARCH("NO",O83)))</formula>
    </cfRule>
  </conditionalFormatting>
  <conditionalFormatting sqref="H65:M65 O65:Q65">
    <cfRule type="containsErrors" dxfId="27" priority="12">
      <formula>ISERROR(H65)</formula>
    </cfRule>
  </conditionalFormatting>
  <conditionalFormatting sqref="N63">
    <cfRule type="containsErrors" dxfId="26" priority="11">
      <formula>ISERROR(N63)</formula>
    </cfRule>
  </conditionalFormatting>
  <conditionalFormatting sqref="Q65">
    <cfRule type="cellIs" dxfId="25" priority="1" operator="between">
      <formula>23.1</formula>
      <formula>30.1</formula>
    </cfRule>
    <cfRule type="cellIs" dxfId="24" priority="2" operator="lessThan">
      <formula>30.1</formula>
    </cfRule>
    <cfRule type="cellIs" dxfId="23" priority="3" operator="greaterThan">
      <formula>30.1</formula>
    </cfRule>
    <cfRule type="cellIs" dxfId="22" priority="4" operator="between">
      <formula>23.00001</formula>
      <formula>30.00001</formula>
    </cfRule>
    <cfRule type="cellIs" dxfId="21" priority="5" operator="lessThan">
      <formula>30.00001</formula>
    </cfRule>
    <cfRule type="cellIs" dxfId="20" priority="6" operator="greaterThan">
      <formula>30</formula>
    </cfRule>
    <cfRule type="cellIs" dxfId="19" priority="9" operator="greaterThan">
      <formula>30.1</formula>
    </cfRule>
    <cfRule type="cellIs" dxfId="18" priority="10" operator="between">
      <formula>0</formula>
      <formula>30</formula>
    </cfRule>
  </conditionalFormatting>
  <conditionalFormatting sqref="N65">
    <cfRule type="containsErrors" dxfId="17" priority="8">
      <formula>ISERROR(N65)</formula>
    </cfRule>
  </conditionalFormatting>
  <conditionalFormatting sqref="R65">
    <cfRule type="containsErrors" dxfId="16" priority="7">
      <formula>ISERROR(R65)</formula>
    </cfRule>
  </conditionalFormatting>
  <dataValidations count="8">
    <dataValidation type="list" allowBlank="1" showInputMessage="1" showErrorMessage="1" sqref="J6">
      <formula1>$X$19:$X$27</formula1>
    </dataValidation>
    <dataValidation type="list" allowBlank="1" showInputMessage="1" showErrorMessage="1" sqref="O6">
      <formula1>$Y$18:$Y$22</formula1>
    </dataValidation>
    <dataValidation type="list" allowBlank="1" showInputMessage="1" showErrorMessage="1" sqref="Q3">
      <formula1>$Z$19:$Z$25</formula1>
    </dataValidation>
    <dataValidation type="list" allowBlank="1" showInputMessage="1" showErrorMessage="1" sqref="M6">
      <formula1>$AB$19:$AB$23</formula1>
    </dataValidation>
    <dataValidation type="list" allowBlank="1" showInputMessage="1" showErrorMessage="1" sqref="L7">
      <formula1>$AA$19:$AA$24</formula1>
    </dataValidation>
    <dataValidation type="list" allowBlank="1" showInputMessage="1" showErrorMessage="1" sqref="P78">
      <formula1>$C$17:$C$28</formula1>
    </dataValidation>
    <dataValidation type="list" allowBlank="1" showInputMessage="1" showErrorMessage="1" sqref="R37">
      <formula1>$U$40:$U$42</formula1>
    </dataValidation>
    <dataValidation type="list" allowBlank="1" showErrorMessage="1" errorTitle="Invalid Entry!" error="Please select the type of recycled product." sqref="M11:O11">
      <formula1>$U$11:$U$13</formula1>
    </dataValidation>
  </dataValidations>
  <pageMargins left="0.5" right="0.5" top="1" bottom="0.93" header="0.5" footer="0.5"/>
  <pageSetup scale="86" orientation="landscape" r:id="rId1"/>
  <headerFooter alignWithMargins="0"/>
  <rowBreaks count="5" manualBreakCount="5">
    <brk id="43" min="1" max="16" man="1"/>
    <brk id="89" min="1" max="16" man="1"/>
    <brk id="132" min="1" max="16" man="1"/>
    <brk id="175" min="1" max="16" man="1"/>
    <brk id="209" min="1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16</xdr:col>
                    <xdr:colOff>57150</xdr:colOff>
                    <xdr:row>4</xdr:row>
                    <xdr:rowOff>152400</xdr:rowOff>
                  </from>
                  <to>
                    <xdr:col>16</xdr:col>
                    <xdr:colOff>495300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16</xdr:col>
                    <xdr:colOff>533400</xdr:colOff>
                    <xdr:row>4</xdr:row>
                    <xdr:rowOff>152400</xdr:rowOff>
                  </from>
                  <to>
                    <xdr:col>17</xdr:col>
                    <xdr:colOff>314325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251"/>
  <sheetViews>
    <sheetView zoomScaleNormal="100" workbookViewId="0">
      <selection activeCell="M22" sqref="M22"/>
    </sheetView>
  </sheetViews>
  <sheetFormatPr defaultRowHeight="12.75" x14ac:dyDescent="0.2"/>
  <cols>
    <col min="1" max="1" width="9.140625" style="4"/>
    <col min="2" max="2" width="8.42578125" style="4" customWidth="1"/>
    <col min="3" max="3" width="5.42578125" style="4" customWidth="1"/>
    <col min="4" max="4" width="5.28515625" style="4" customWidth="1"/>
    <col min="5" max="5" width="7.140625" style="4" customWidth="1"/>
    <col min="6" max="6" width="9.85546875" style="4" customWidth="1"/>
    <col min="7" max="7" width="9.140625" style="4"/>
    <col min="8" max="13" width="8.85546875" style="4" customWidth="1"/>
    <col min="14" max="15" width="9.42578125" style="4" customWidth="1"/>
    <col min="16" max="16" width="10.140625" style="4" customWidth="1"/>
    <col min="17" max="17" width="9.7109375" style="4" customWidth="1"/>
    <col min="18" max="18" width="9.140625" style="4" customWidth="1"/>
    <col min="19" max="19" width="9.140625" style="4" hidden="1" customWidth="1"/>
    <col min="20" max="20" width="11.5703125" style="4" hidden="1" customWidth="1"/>
    <col min="21" max="34" width="9.140625" style="4" hidden="1" customWidth="1"/>
    <col min="35" max="47" width="5.7109375" style="4" hidden="1" customWidth="1"/>
    <col min="48" max="49" width="4.7109375" style="4" hidden="1" customWidth="1"/>
    <col min="50" max="60" width="9.140625" style="4" hidden="1" customWidth="1"/>
    <col min="61" max="62" width="4.7109375" style="4" hidden="1" customWidth="1"/>
    <col min="63" max="16384" width="9.140625" style="4"/>
  </cols>
  <sheetData>
    <row r="1" spans="1:62" x14ac:dyDescent="0.2">
      <c r="A1" s="103"/>
      <c r="B1" s="177"/>
      <c r="C1" s="178"/>
      <c r="D1" s="179"/>
      <c r="E1" s="179"/>
      <c r="F1" s="179"/>
      <c r="G1" s="179"/>
      <c r="H1" s="179"/>
      <c r="I1" s="92"/>
      <c r="J1" s="92"/>
      <c r="K1" s="92"/>
      <c r="L1" s="92"/>
      <c r="M1" s="92"/>
      <c r="N1" s="92"/>
      <c r="O1" s="93" t="s">
        <v>186</v>
      </c>
      <c r="P1" s="94"/>
      <c r="Q1" s="173"/>
      <c r="R1" s="95"/>
      <c r="S1" s="3"/>
      <c r="T1" s="3"/>
      <c r="AV1" s="103"/>
      <c r="AW1" s="103"/>
      <c r="BI1" s="103"/>
      <c r="BJ1" s="103"/>
    </row>
    <row r="2" spans="1:62" x14ac:dyDescent="0.2">
      <c r="A2" s="103"/>
      <c r="B2" s="96" t="s">
        <v>211</v>
      </c>
      <c r="C2" s="97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7"/>
      <c r="Q2" s="100"/>
      <c r="R2" s="101"/>
      <c r="S2" s="3"/>
      <c r="T2" s="3"/>
      <c r="AV2" s="103"/>
      <c r="AW2" s="103"/>
      <c r="BI2" s="103"/>
      <c r="BJ2" s="103"/>
    </row>
    <row r="3" spans="1:62" x14ac:dyDescent="0.2">
      <c r="A3" s="103"/>
      <c r="B3" s="102" t="s">
        <v>236</v>
      </c>
      <c r="C3" s="59"/>
      <c r="D3" s="27"/>
      <c r="E3" s="27"/>
      <c r="F3" s="55"/>
      <c r="G3" s="27"/>
      <c r="H3" s="27" t="s">
        <v>0</v>
      </c>
      <c r="I3" s="27"/>
      <c r="J3" s="180"/>
      <c r="K3" s="180"/>
      <c r="L3" s="43"/>
      <c r="M3" s="55"/>
      <c r="N3" s="55"/>
      <c r="O3" s="103"/>
      <c r="P3" s="27" t="s">
        <v>2</v>
      </c>
      <c r="Q3" s="174"/>
      <c r="R3" s="104"/>
      <c r="S3" s="3"/>
      <c r="AV3" s="103"/>
      <c r="AW3" s="103"/>
      <c r="BI3" s="103"/>
      <c r="BJ3" s="103"/>
    </row>
    <row r="4" spans="1:62" x14ac:dyDescent="0.2">
      <c r="A4" s="103"/>
      <c r="B4" s="105" t="s">
        <v>1</v>
      </c>
      <c r="C4" s="27"/>
      <c r="D4" s="27"/>
      <c r="E4" s="27"/>
      <c r="F4" s="5"/>
      <c r="G4" s="27"/>
      <c r="H4" s="27" t="s">
        <v>239</v>
      </c>
      <c r="I4" s="27"/>
      <c r="J4" s="174"/>
      <c r="K4" s="174"/>
      <c r="L4" s="43"/>
      <c r="M4" s="55"/>
      <c r="N4" s="55"/>
      <c r="O4" s="27"/>
      <c r="P4" s="27"/>
      <c r="Q4" s="27"/>
      <c r="R4" s="104"/>
      <c r="S4" s="3"/>
      <c r="T4" s="3"/>
      <c r="AV4" s="103"/>
      <c r="AW4" s="103"/>
      <c r="BI4" s="103"/>
      <c r="BJ4" s="103"/>
    </row>
    <row r="5" spans="1:62" ht="13.5" thickBot="1" x14ac:dyDescent="0.25">
      <c r="A5" s="103"/>
      <c r="B5" s="105" t="s">
        <v>237</v>
      </c>
      <c r="C5" s="27"/>
      <c r="D5" s="27"/>
      <c r="E5" s="27"/>
      <c r="F5" s="5"/>
      <c r="G5" s="27"/>
      <c r="H5" s="27" t="s">
        <v>238</v>
      </c>
      <c r="I5" s="27"/>
      <c r="J5" s="174"/>
      <c r="K5" s="74"/>
      <c r="L5" s="43"/>
      <c r="M5" s="78"/>
      <c r="N5" s="55"/>
      <c r="O5" s="47"/>
      <c r="P5" s="47"/>
      <c r="Q5" s="47"/>
      <c r="R5" s="106"/>
      <c r="S5" s="3"/>
      <c r="T5" s="3"/>
      <c r="AV5" s="103"/>
      <c r="AW5" s="103"/>
      <c r="BI5" s="103"/>
      <c r="BJ5" s="103"/>
    </row>
    <row r="6" spans="1:62" x14ac:dyDescent="0.2">
      <c r="A6" s="103"/>
      <c r="B6" s="107" t="s">
        <v>3</v>
      </c>
      <c r="C6" s="94"/>
      <c r="D6" s="92" t="s">
        <v>4</v>
      </c>
      <c r="E6" s="92"/>
      <c r="F6" s="92"/>
      <c r="G6" s="181"/>
      <c r="H6" s="181"/>
      <c r="I6" s="92" t="s">
        <v>6</v>
      </c>
      <c r="J6" s="6"/>
      <c r="K6" s="92" t="s">
        <v>100</v>
      </c>
      <c r="L6" s="84"/>
      <c r="M6" s="71"/>
      <c r="N6" s="108" t="s">
        <v>85</v>
      </c>
      <c r="O6" s="76"/>
      <c r="P6" s="109" t="s">
        <v>170</v>
      </c>
      <c r="Q6" s="110"/>
      <c r="R6" s="72"/>
      <c r="S6" s="3"/>
      <c r="T6" s="3"/>
      <c r="AV6" s="103"/>
      <c r="AW6" s="103"/>
      <c r="BI6" s="103"/>
      <c r="BJ6" s="103"/>
    </row>
    <row r="7" spans="1:62" x14ac:dyDescent="0.2">
      <c r="A7" s="103"/>
      <c r="B7" s="102"/>
      <c r="C7" s="59"/>
      <c r="D7" s="27" t="s">
        <v>5</v>
      </c>
      <c r="E7" s="27"/>
      <c r="F7" s="27"/>
      <c r="G7" s="182"/>
      <c r="H7" s="182"/>
      <c r="I7" s="27" t="s">
        <v>93</v>
      </c>
      <c r="J7" s="43"/>
      <c r="K7" s="55" t="s">
        <v>91</v>
      </c>
      <c r="L7" s="43"/>
      <c r="M7" s="27" t="s">
        <v>190</v>
      </c>
      <c r="N7" s="111"/>
      <c r="O7" s="160"/>
      <c r="P7" s="112" t="s">
        <v>171</v>
      </c>
      <c r="Q7" s="183"/>
      <c r="R7" s="184"/>
      <c r="S7" s="3"/>
      <c r="T7" s="3"/>
      <c r="AV7" s="103"/>
      <c r="AW7" s="103"/>
      <c r="BI7" s="103"/>
      <c r="BJ7" s="103"/>
    </row>
    <row r="8" spans="1:62" ht="13.5" thickBot="1" x14ac:dyDescent="0.25">
      <c r="A8" s="103"/>
      <c r="B8" s="113"/>
      <c r="C8" s="47"/>
      <c r="D8" s="47" t="s">
        <v>205</v>
      </c>
      <c r="E8" s="114"/>
      <c r="F8" s="114"/>
      <c r="G8" s="115"/>
      <c r="H8" s="69"/>
      <c r="I8" s="114"/>
      <c r="J8" s="114"/>
      <c r="K8" s="116" t="s">
        <v>206</v>
      </c>
      <c r="L8" s="175"/>
      <c r="M8" s="69"/>
      <c r="N8" s="69"/>
      <c r="O8" s="114"/>
      <c r="P8" s="114"/>
      <c r="Q8" s="114"/>
      <c r="R8" s="117"/>
      <c r="S8" s="3"/>
      <c r="T8" s="3"/>
      <c r="AV8" s="103"/>
      <c r="AW8" s="103"/>
      <c r="BI8" s="103"/>
      <c r="BJ8" s="103"/>
    </row>
    <row r="9" spans="1:62" x14ac:dyDescent="0.2">
      <c r="A9" s="103"/>
      <c r="B9" s="102" t="s">
        <v>70</v>
      </c>
      <c r="C9" s="59"/>
      <c r="D9" s="27"/>
      <c r="E9" s="27"/>
      <c r="F9" s="27"/>
      <c r="G9" s="27"/>
      <c r="H9" s="27"/>
      <c r="I9" s="27"/>
      <c r="J9" s="59" t="s">
        <v>7</v>
      </c>
      <c r="K9" s="27"/>
      <c r="L9" s="27"/>
      <c r="M9" s="27"/>
      <c r="N9" s="27"/>
      <c r="O9" s="27"/>
      <c r="P9" s="27"/>
      <c r="Q9" s="27"/>
      <c r="R9" s="118"/>
      <c r="S9" s="3"/>
      <c r="T9" s="51"/>
      <c r="U9" s="34"/>
      <c r="AV9" s="103"/>
      <c r="AW9" s="103"/>
      <c r="BI9" s="103"/>
      <c r="BJ9" s="103"/>
    </row>
    <row r="10" spans="1:62" x14ac:dyDescent="0.2">
      <c r="A10" s="103"/>
      <c r="B10" s="102"/>
      <c r="C10" s="59"/>
      <c r="D10" s="27"/>
      <c r="E10" s="27"/>
      <c r="F10" s="189" t="s">
        <v>140</v>
      </c>
      <c r="G10" s="189"/>
      <c r="H10" s="189"/>
      <c r="I10" s="189"/>
      <c r="J10" s="189"/>
      <c r="K10" s="189"/>
      <c r="L10" s="27"/>
      <c r="M10" s="189" t="s">
        <v>141</v>
      </c>
      <c r="N10" s="189"/>
      <c r="O10" s="189"/>
      <c r="P10" s="27"/>
      <c r="Q10" s="27"/>
      <c r="R10" s="118"/>
      <c r="S10" s="3"/>
      <c r="T10" s="51"/>
      <c r="U10" s="34" t="s">
        <v>141</v>
      </c>
      <c r="AV10" s="103"/>
      <c r="AW10" s="103"/>
      <c r="BI10" s="103"/>
      <c r="BJ10" s="103"/>
    </row>
    <row r="11" spans="1:62" x14ac:dyDescent="0.2">
      <c r="A11" s="103"/>
      <c r="B11" s="105" t="s">
        <v>60</v>
      </c>
      <c r="C11" s="27"/>
      <c r="D11" s="27"/>
      <c r="E11" s="27"/>
      <c r="F11" s="8"/>
      <c r="G11" s="8"/>
      <c r="H11" s="8"/>
      <c r="I11" s="8"/>
      <c r="J11" s="8"/>
      <c r="K11" s="9"/>
      <c r="L11" s="103"/>
      <c r="M11" s="8"/>
      <c r="N11" s="8"/>
      <c r="O11" s="8"/>
      <c r="P11" s="103"/>
      <c r="Q11" s="119" t="s">
        <v>69</v>
      </c>
      <c r="R11" s="104"/>
      <c r="S11" s="3"/>
      <c r="T11" s="3"/>
      <c r="U11" s="34" t="s">
        <v>257</v>
      </c>
      <c r="AV11" s="103"/>
      <c r="AW11" s="103"/>
      <c r="BI11" s="103"/>
      <c r="BJ11" s="103"/>
    </row>
    <row r="12" spans="1:62" x14ac:dyDescent="0.2">
      <c r="A12" s="103"/>
      <c r="B12" s="105" t="s">
        <v>61</v>
      </c>
      <c r="C12" s="27"/>
      <c r="D12" s="27"/>
      <c r="E12" s="27"/>
      <c r="F12" s="8"/>
      <c r="G12" s="8"/>
      <c r="H12" s="8"/>
      <c r="I12" s="8"/>
      <c r="J12" s="8"/>
      <c r="K12" s="9"/>
      <c r="L12" s="103"/>
      <c r="M12" s="27" t="s">
        <v>191</v>
      </c>
      <c r="N12" s="27" t="s">
        <v>191</v>
      </c>
      <c r="O12" s="27" t="s">
        <v>191</v>
      </c>
      <c r="P12" s="103"/>
      <c r="Q12" s="120" t="s">
        <v>65</v>
      </c>
      <c r="R12" s="104" t="s">
        <v>66</v>
      </c>
      <c r="S12" s="3"/>
      <c r="T12" s="3"/>
      <c r="U12" s="34" t="s">
        <v>258</v>
      </c>
      <c r="AV12" s="103"/>
      <c r="AW12" s="103"/>
      <c r="BI12" s="103"/>
      <c r="BJ12" s="103"/>
    </row>
    <row r="13" spans="1:62" x14ac:dyDescent="0.2">
      <c r="A13" s="103"/>
      <c r="B13" s="105"/>
      <c r="C13" s="27"/>
      <c r="D13" s="27"/>
      <c r="E13" s="27"/>
      <c r="F13" s="8"/>
      <c r="G13" s="8"/>
      <c r="H13" s="8"/>
      <c r="I13" s="8"/>
      <c r="J13" s="8"/>
      <c r="K13" s="9"/>
      <c r="L13" s="55"/>
      <c r="M13" s="8"/>
      <c r="N13" s="8"/>
      <c r="O13" s="42"/>
      <c r="P13" s="120"/>
      <c r="Q13" s="120"/>
      <c r="R13" s="104"/>
      <c r="S13" s="3"/>
      <c r="T13" s="3"/>
      <c r="U13" s="34" t="s">
        <v>209</v>
      </c>
      <c r="AV13" s="103"/>
      <c r="AW13" s="103"/>
      <c r="BI13" s="103"/>
      <c r="BJ13" s="103"/>
    </row>
    <row r="14" spans="1:62" x14ac:dyDescent="0.2">
      <c r="A14" s="103"/>
      <c r="B14" s="121"/>
      <c r="C14" s="27"/>
      <c r="D14" s="27"/>
      <c r="E14" s="27"/>
      <c r="F14" s="70"/>
      <c r="G14" s="70"/>
      <c r="H14" s="70"/>
      <c r="I14" s="70"/>
      <c r="J14" s="70"/>
      <c r="K14" s="122"/>
      <c r="L14" s="70" t="s">
        <v>139</v>
      </c>
      <c r="M14" s="70" t="s">
        <v>21</v>
      </c>
      <c r="N14" s="70" t="s">
        <v>21</v>
      </c>
      <c r="O14" s="70" t="s">
        <v>21</v>
      </c>
      <c r="P14" s="120" t="s">
        <v>74</v>
      </c>
      <c r="Q14" s="120"/>
      <c r="R14" s="104"/>
      <c r="S14" s="3"/>
      <c r="T14" s="3"/>
      <c r="AV14" s="103"/>
      <c r="AW14" s="103"/>
      <c r="BI14" s="103"/>
      <c r="BJ14" s="103"/>
    </row>
    <row r="15" spans="1:62" x14ac:dyDescent="0.2">
      <c r="A15" s="103"/>
      <c r="B15" s="123"/>
      <c r="C15" s="98"/>
      <c r="D15" s="98"/>
      <c r="E15" s="98"/>
      <c r="F15" s="66"/>
      <c r="G15" s="66"/>
      <c r="H15" s="66"/>
      <c r="I15" s="66"/>
      <c r="J15" s="66"/>
      <c r="K15" s="124"/>
      <c r="L15" s="125" t="s">
        <v>21</v>
      </c>
      <c r="M15" s="66"/>
      <c r="N15" s="66"/>
      <c r="O15" s="66"/>
      <c r="P15" s="172" t="s">
        <v>21</v>
      </c>
      <c r="Q15" s="120"/>
      <c r="R15" s="104"/>
      <c r="S15" s="3"/>
      <c r="T15" s="3"/>
      <c r="AD15" s="34" t="s">
        <v>107</v>
      </c>
      <c r="AV15" s="103"/>
      <c r="AW15" s="103"/>
      <c r="BI15" s="103"/>
      <c r="BJ15" s="103"/>
    </row>
    <row r="16" spans="1:62" x14ac:dyDescent="0.2">
      <c r="A16" s="103"/>
      <c r="B16" s="123" t="s">
        <v>8</v>
      </c>
      <c r="C16" s="98"/>
      <c r="D16" s="98"/>
      <c r="E16" s="98"/>
      <c r="F16" s="48"/>
      <c r="G16" s="48"/>
      <c r="H16" s="48"/>
      <c r="I16" s="48"/>
      <c r="J16" s="48"/>
      <c r="K16" s="48"/>
      <c r="L16" s="125">
        <f>SUM(F16:K16)</f>
        <v>0</v>
      </c>
      <c r="M16" s="48"/>
      <c r="N16" s="48"/>
      <c r="O16" s="60"/>
      <c r="P16" s="66">
        <f>F16+G16+H16+I16+J16+K16+M16+N16+O16</f>
        <v>0</v>
      </c>
      <c r="Q16" s="126"/>
      <c r="R16" s="127"/>
      <c r="S16" s="3"/>
      <c r="T16" s="3"/>
      <c r="AC16" s="3" t="s">
        <v>111</v>
      </c>
      <c r="AD16" s="3" t="s">
        <v>106</v>
      </c>
      <c r="AE16" s="3" t="s">
        <v>102</v>
      </c>
      <c r="AF16" s="3" t="s">
        <v>103</v>
      </c>
      <c r="AG16" s="3" t="s">
        <v>104</v>
      </c>
      <c r="AH16" s="3" t="s">
        <v>84</v>
      </c>
      <c r="AV16" s="103"/>
      <c r="AW16" s="103"/>
      <c r="BI16" s="103"/>
      <c r="BJ16" s="103"/>
    </row>
    <row r="17" spans="1:62" x14ac:dyDescent="0.2">
      <c r="A17" s="103"/>
      <c r="B17" s="105" t="s">
        <v>180</v>
      </c>
      <c r="C17" s="128" t="s">
        <v>172</v>
      </c>
      <c r="D17" s="27"/>
      <c r="E17" s="129" t="s">
        <v>9</v>
      </c>
      <c r="F17" s="10"/>
      <c r="G17" s="10"/>
      <c r="H17" s="10"/>
      <c r="I17" s="10"/>
      <c r="J17" s="10"/>
      <c r="K17" s="10"/>
      <c r="L17" s="28" t="e">
        <f xml:space="preserve"> ((($F$16/100)*F17)+(($G$16/100)*G17)+(($H$16/100)*H17)+(($I$16/100)*I17)+(($J$16/100)*J17)+($K$16/100)*K17)/($L$16/100)</f>
        <v>#DIV/0!</v>
      </c>
      <c r="M17" s="10"/>
      <c r="N17" s="10"/>
      <c r="O17" s="44"/>
      <c r="P17" s="1" t="e">
        <f>( (($F$16/100)*F17)+(($G$16/100)*G17)+(($H$16/100)*H17)+(($I$16/100)*I17)+(($J$16/100)*J17)+(($K$16/100)*K17)+(($M$16/100)*M17)+(($N$16/100)*N17)+(($O$16/100)*O17))/($P$16/100)</f>
        <v>#DIV/0!</v>
      </c>
      <c r="Q17" s="79"/>
      <c r="R17" s="67" t="e">
        <f>IF($J$6="SG",AI40,NA())</f>
        <v>#N/A</v>
      </c>
      <c r="S17" s="3">
        <f>37.5^0.45</f>
        <v>5.1087431744234335</v>
      </c>
      <c r="T17" s="4" t="str">
        <f t="shared" ref="T17:T29" si="0">IF($M$6="No. 4",AD17,IF($M$6="3/8",AE17,IF($M$6="1/2",AF17,IF($M$6="3/4",AG17,IF($M$6="1",AH17,"")))))</f>
        <v/>
      </c>
      <c r="U17" s="4">
        <v>90</v>
      </c>
      <c r="V17" s="4">
        <v>100</v>
      </c>
      <c r="Y17" s="4" t="s">
        <v>92</v>
      </c>
      <c r="AC17" s="82" t="s">
        <v>112</v>
      </c>
      <c r="AD17" s="3">
        <v>100</v>
      </c>
      <c r="AE17" s="3">
        <v>100</v>
      </c>
      <c r="AF17" s="3">
        <v>100</v>
      </c>
      <c r="AG17" s="3">
        <v>100</v>
      </c>
      <c r="AH17" s="3">
        <v>100</v>
      </c>
      <c r="AJ17" s="88" t="s">
        <v>112</v>
      </c>
      <c r="AV17" s="103"/>
      <c r="AW17" s="103"/>
      <c r="BI17" s="103"/>
      <c r="BJ17" s="103"/>
    </row>
    <row r="18" spans="1:62" x14ac:dyDescent="0.2">
      <c r="A18" s="103"/>
      <c r="B18" s="105" t="s">
        <v>180</v>
      </c>
      <c r="C18" s="128">
        <v>1</v>
      </c>
      <c r="D18" s="27"/>
      <c r="E18" s="129" t="s">
        <v>10</v>
      </c>
      <c r="F18" s="10"/>
      <c r="G18" s="10"/>
      <c r="H18" s="10"/>
      <c r="I18" s="10"/>
      <c r="J18" s="10"/>
      <c r="K18" s="10"/>
      <c r="L18" s="28" t="e">
        <f t="shared" ref="L18:L28" si="1" xml:space="preserve"> ((($F$16/100)*F18)+(($G$16/100)*G18)+(($H$16/100)*H18)+(($I$16/100)*I18)+(($J$16/100)*J18)+($K$16/100)*K18)/($L$16/100)</f>
        <v>#DIV/0!</v>
      </c>
      <c r="M18" s="10"/>
      <c r="N18" s="10"/>
      <c r="O18" s="44"/>
      <c r="P18" s="1" t="e">
        <f t="shared" ref="P18:P28" si="2">( (($F$16/100)*F18)+(($G$16/100)*G18)+(($H$16/100)*H18)+(($I$16/100)*I18)+(($J$16/100)*J18)+(($K$16/100)*K18)+(($M$16/100)*M18)+(($N$16/100)*N18)+(($O$16/100)*O18))/($P$16/100)</f>
        <v>#DIV/0!</v>
      </c>
      <c r="Q18" s="80" t="e">
        <f>IF($J$6="SG",AH42,NA())</f>
        <v>#N/A</v>
      </c>
      <c r="R18" s="67" t="e">
        <f>IF($J$6="SG",AI42,IF($J$6="S",AK42,IF($J$6="SMA 3/4",AO42,NA())))</f>
        <v>#N/A</v>
      </c>
      <c r="S18" s="3">
        <f>25^0.45</f>
        <v>4.2566996126039234</v>
      </c>
      <c r="T18" s="4" t="str">
        <f t="shared" si="0"/>
        <v/>
      </c>
      <c r="U18" s="4">
        <v>19</v>
      </c>
      <c r="V18" s="4">
        <v>45</v>
      </c>
      <c r="X18" s="4" t="s">
        <v>91</v>
      </c>
      <c r="Y18" s="4">
        <v>50</v>
      </c>
      <c r="Z18" s="4" t="s">
        <v>2</v>
      </c>
      <c r="AA18" s="4" t="s">
        <v>94</v>
      </c>
      <c r="AB18" s="34" t="s">
        <v>101</v>
      </c>
      <c r="AC18" s="82" t="s">
        <v>113</v>
      </c>
      <c r="AD18" s="3">
        <v>100</v>
      </c>
      <c r="AE18" s="3">
        <v>100</v>
      </c>
      <c r="AF18" s="3">
        <v>100</v>
      </c>
      <c r="AG18" s="3">
        <v>100</v>
      </c>
      <c r="AH18" s="3">
        <f>25^0.45</f>
        <v>4.2566996126039234</v>
      </c>
      <c r="AJ18" s="4">
        <v>1</v>
      </c>
      <c r="AV18" s="103"/>
      <c r="AW18" s="103"/>
      <c r="BI18" s="103"/>
      <c r="BJ18" s="103"/>
    </row>
    <row r="19" spans="1:62" x14ac:dyDescent="0.2">
      <c r="A19" s="103"/>
      <c r="B19" s="105" t="s">
        <v>180</v>
      </c>
      <c r="C19" s="128" t="s">
        <v>110</v>
      </c>
      <c r="D19" s="27"/>
      <c r="E19" s="129" t="s">
        <v>11</v>
      </c>
      <c r="F19" s="10"/>
      <c r="G19" s="10"/>
      <c r="H19" s="10"/>
      <c r="I19" s="10"/>
      <c r="J19" s="10"/>
      <c r="K19" s="10"/>
      <c r="L19" s="28" t="e">
        <f t="shared" si="1"/>
        <v>#DIV/0!</v>
      </c>
      <c r="M19" s="10"/>
      <c r="N19" s="10"/>
      <c r="O19" s="44"/>
      <c r="P19" s="1" t="e">
        <f t="shared" si="2"/>
        <v>#DIV/0!</v>
      </c>
      <c r="Q19" s="80" t="e">
        <f>IF($J$6="S",AJ43,IF($J$6="SMA 3/4",AN43,NA()))</f>
        <v>#N/A</v>
      </c>
      <c r="R19" s="67" t="e">
        <f>IF($J$6="S",AK43,IF($J$6="SX",AM43,IF($J$6="SMA 3/4",AO43,IF($J$6="SMA 1/2",AQ43,NA()))))</f>
        <v>#N/A</v>
      </c>
      <c r="S19" s="3">
        <f>19^0.45</f>
        <v>3.7621761023862978</v>
      </c>
      <c r="T19" s="4" t="str">
        <f t="shared" si="0"/>
        <v/>
      </c>
      <c r="U19" s="4">
        <v>23</v>
      </c>
      <c r="V19" s="4">
        <v>49</v>
      </c>
      <c r="X19" s="4" t="s">
        <v>54</v>
      </c>
      <c r="Y19" s="4">
        <v>75</v>
      </c>
      <c r="Z19" s="4">
        <v>1</v>
      </c>
      <c r="AA19" s="34" t="s">
        <v>157</v>
      </c>
      <c r="AB19" s="34" t="s">
        <v>105</v>
      </c>
      <c r="AC19" s="82" t="s">
        <v>110</v>
      </c>
      <c r="AD19" s="3">
        <v>100</v>
      </c>
      <c r="AE19" s="3">
        <v>100</v>
      </c>
      <c r="AF19" s="3">
        <v>100</v>
      </c>
      <c r="AG19" s="3">
        <f>S19</f>
        <v>3.7621761023862978</v>
      </c>
      <c r="AH19" s="3">
        <f>S19</f>
        <v>3.7621761023862978</v>
      </c>
      <c r="AJ19" s="88" t="s">
        <v>110</v>
      </c>
      <c r="AV19" s="103"/>
      <c r="AW19" s="103"/>
      <c r="BI19" s="103"/>
      <c r="BJ19" s="103"/>
    </row>
    <row r="20" spans="1:62" x14ac:dyDescent="0.2">
      <c r="A20" s="103"/>
      <c r="B20" s="105" t="s">
        <v>180</v>
      </c>
      <c r="C20" s="128" t="s">
        <v>109</v>
      </c>
      <c r="D20" s="27"/>
      <c r="E20" s="129" t="s">
        <v>12</v>
      </c>
      <c r="F20" s="10"/>
      <c r="G20" s="10"/>
      <c r="H20" s="10"/>
      <c r="I20" s="10"/>
      <c r="J20" s="10"/>
      <c r="K20" s="10"/>
      <c r="L20" s="28" t="e">
        <f t="shared" si="1"/>
        <v>#DIV/0!</v>
      </c>
      <c r="M20" s="10"/>
      <c r="N20" s="10"/>
      <c r="O20" s="44"/>
      <c r="P20" s="1" t="e">
        <f t="shared" si="2"/>
        <v>#DIV/0!</v>
      </c>
      <c r="Q20" s="80" t="e">
        <f>IF($J$6="SX",AL44,IF($J$6="SMA 3/4",AN44,IF($J$6="SMA 1/2",AP44,NA())))</f>
        <v>#N/A</v>
      </c>
      <c r="R20" s="67" t="e">
        <f>IF($J$6="SMA 3/8",AS44,IF($J$6="SX",AM44,IF($J$6="SMA 3/4",AO44,IF($J$6="SMA 1/2",AQ44,IF($J$6="SMA No. 4",AU44,IF($J$6="ST",AW44,NA()))))))</f>
        <v>#N/A</v>
      </c>
      <c r="S20" s="3">
        <f>12.5^0.45</f>
        <v>3.116086507375345</v>
      </c>
      <c r="T20" s="4" t="str">
        <f t="shared" si="0"/>
        <v/>
      </c>
      <c r="U20" s="4">
        <v>28</v>
      </c>
      <c r="V20" s="4">
        <v>58</v>
      </c>
      <c r="X20" s="4" t="s">
        <v>82</v>
      </c>
      <c r="Y20" s="4">
        <v>100</v>
      </c>
      <c r="Z20" s="4">
        <v>2</v>
      </c>
      <c r="AA20" s="4" t="s">
        <v>95</v>
      </c>
      <c r="AB20" s="36" t="s">
        <v>108</v>
      </c>
      <c r="AC20" s="82" t="s">
        <v>109</v>
      </c>
      <c r="AD20" s="3">
        <v>100</v>
      </c>
      <c r="AE20" s="3">
        <v>100</v>
      </c>
      <c r="AF20" s="3">
        <f>12.5^0.45</f>
        <v>3.116086507375345</v>
      </c>
      <c r="AG20" s="3">
        <f>12.5^0.45</f>
        <v>3.116086507375345</v>
      </c>
      <c r="AH20" s="3">
        <f>12.5^0.45</f>
        <v>3.116086507375345</v>
      </c>
      <c r="AJ20" s="88" t="s">
        <v>109</v>
      </c>
      <c r="AV20" s="103"/>
      <c r="AW20" s="103"/>
      <c r="BI20" s="103"/>
      <c r="BJ20" s="103"/>
    </row>
    <row r="21" spans="1:62" x14ac:dyDescent="0.2">
      <c r="A21" s="103"/>
      <c r="B21" s="105" t="s">
        <v>180</v>
      </c>
      <c r="C21" s="128" t="s">
        <v>108</v>
      </c>
      <c r="D21" s="27"/>
      <c r="E21" s="129" t="s">
        <v>13</v>
      </c>
      <c r="F21" s="10"/>
      <c r="G21" s="10"/>
      <c r="H21" s="10"/>
      <c r="I21" s="10"/>
      <c r="J21" s="10"/>
      <c r="K21" s="10"/>
      <c r="L21" s="28" t="e">
        <f t="shared" si="1"/>
        <v>#DIV/0!</v>
      </c>
      <c r="M21" s="10"/>
      <c r="N21" s="10"/>
      <c r="O21" s="44"/>
      <c r="P21" s="1" t="e">
        <f t="shared" si="2"/>
        <v>#DIV/0!</v>
      </c>
      <c r="Q21" s="80" t="e">
        <f>IF($J$6="SMA 3/8",AR45,IF($J$6="SMA 3/4",AN45,IF($J$6="SMA 1/2",AP45,IF($J$6="ST",AV45,NA()))))</f>
        <v>#N/A</v>
      </c>
      <c r="R21" s="67" t="e">
        <f>IF($J$6="SMA 3/8",AS45,IF($J$6="SMA 3/4",AO45,IF($J$6="SMA 1/2",AQ45,IF($J$6="SMA No. 4",AU45,IF($J$6="ST",AW45,IF($J$6="SF",BJ45,NA()))))))</f>
        <v>#N/A</v>
      </c>
      <c r="S21" s="3">
        <f>9.5^0.45</f>
        <v>2.754074108566122</v>
      </c>
      <c r="T21" s="4" t="str">
        <f t="shared" si="0"/>
        <v/>
      </c>
      <c r="U21" s="4">
        <v>1</v>
      </c>
      <c r="V21" s="4">
        <v>7</v>
      </c>
      <c r="X21" s="4" t="s">
        <v>83</v>
      </c>
      <c r="Y21" s="4">
        <v>125</v>
      </c>
      <c r="Z21" s="4">
        <v>3</v>
      </c>
      <c r="AA21" s="4" t="s">
        <v>96</v>
      </c>
      <c r="AB21" s="36" t="s">
        <v>109</v>
      </c>
      <c r="AC21" s="82" t="s">
        <v>108</v>
      </c>
      <c r="AD21" s="3">
        <v>100</v>
      </c>
      <c r="AE21" s="3">
        <f>9.5^0.45</f>
        <v>2.754074108566122</v>
      </c>
      <c r="AF21" s="3">
        <f>9.5^0.45</f>
        <v>2.754074108566122</v>
      </c>
      <c r="AG21" s="3">
        <f>9.5^0.45</f>
        <v>2.754074108566122</v>
      </c>
      <c r="AH21" s="3">
        <f>9.5^0.45</f>
        <v>2.754074108566122</v>
      </c>
      <c r="AJ21" s="88" t="s">
        <v>108</v>
      </c>
      <c r="AV21" s="103"/>
      <c r="AW21" s="103"/>
      <c r="BI21" s="103"/>
      <c r="BJ21" s="103"/>
    </row>
    <row r="22" spans="1:62" x14ac:dyDescent="0.2">
      <c r="A22" s="103"/>
      <c r="B22" s="105" t="s">
        <v>180</v>
      </c>
      <c r="C22" s="128" t="s">
        <v>173</v>
      </c>
      <c r="D22" s="27"/>
      <c r="E22" s="129" t="s">
        <v>14</v>
      </c>
      <c r="F22" s="10"/>
      <c r="G22" s="10"/>
      <c r="H22" s="10"/>
      <c r="I22" s="10"/>
      <c r="J22" s="10"/>
      <c r="K22" s="10"/>
      <c r="L22" s="28" t="e">
        <f t="shared" si="1"/>
        <v>#DIV/0!</v>
      </c>
      <c r="M22" s="10"/>
      <c r="N22" s="10"/>
      <c r="O22" s="44"/>
      <c r="P22" s="1" t="e">
        <f t="shared" si="2"/>
        <v>#DIV/0!</v>
      </c>
      <c r="Q22" s="80" t="e">
        <f>IF($J$6="SMA 3/8",AR46,IF($J$6="SMA 3/4",AN46,IF($J$6="SMA 1/2",AP46,IF($J$6="SMA No. 4",AT46,IF($J$6="SF",BI46,NA())))))</f>
        <v>#N/A</v>
      </c>
      <c r="R22" s="67" t="e">
        <f>IF($J$6="SMA 3/8",AS46,IF($J$6="SMA 3/4",AO46,IF($J$6="SMA 1/2",AQ46,IF($J$6="SMA No. 4",AU46,IF($J$6="SF",BJ46,NA())))))</f>
        <v>#N/A</v>
      </c>
      <c r="S22" s="3">
        <f>4.75^0.45</f>
        <v>2.0161002539629291</v>
      </c>
      <c r="T22" s="4" t="str">
        <f t="shared" si="0"/>
        <v/>
      </c>
      <c r="U22" s="4">
        <v>2</v>
      </c>
      <c r="V22" s="4">
        <v>8</v>
      </c>
      <c r="X22" s="34" t="s">
        <v>128</v>
      </c>
      <c r="Y22" s="34" t="s">
        <v>146</v>
      </c>
      <c r="Z22" s="4">
        <v>4</v>
      </c>
      <c r="AA22" s="4" t="s">
        <v>97</v>
      </c>
      <c r="AB22" s="37" t="s">
        <v>110</v>
      </c>
      <c r="AC22" s="82" t="s">
        <v>105</v>
      </c>
      <c r="AD22" s="3">
        <f>4.75^0.45</f>
        <v>2.0161002539629291</v>
      </c>
      <c r="AE22" s="3">
        <f>4.75^0.45</f>
        <v>2.0161002539629291</v>
      </c>
      <c r="AF22" s="3">
        <f>4.75^0.45</f>
        <v>2.0161002539629291</v>
      </c>
      <c r="AG22" s="3">
        <f>4.75^0.45</f>
        <v>2.0161002539629291</v>
      </c>
      <c r="AH22" s="3">
        <f>4.75^0.45</f>
        <v>2.0161002539629291</v>
      </c>
      <c r="AJ22" s="4" t="s">
        <v>173</v>
      </c>
      <c r="AV22" s="103"/>
      <c r="AW22" s="103"/>
      <c r="BI22" s="103"/>
      <c r="BJ22" s="103"/>
    </row>
    <row r="23" spans="1:62" x14ac:dyDescent="0.2">
      <c r="A23" s="103"/>
      <c r="B23" s="105" t="s">
        <v>180</v>
      </c>
      <c r="C23" s="128" t="s">
        <v>174</v>
      </c>
      <c r="D23" s="27"/>
      <c r="E23" s="129" t="s">
        <v>15</v>
      </c>
      <c r="F23" s="10"/>
      <c r="G23" s="10"/>
      <c r="H23" s="10"/>
      <c r="I23" s="10"/>
      <c r="J23" s="10"/>
      <c r="K23" s="10"/>
      <c r="L23" s="28" t="e">
        <f t="shared" si="1"/>
        <v>#DIV/0!</v>
      </c>
      <c r="M23" s="10"/>
      <c r="N23" s="10"/>
      <c r="O23" s="44"/>
      <c r="P23" s="1" t="e">
        <f t="shared" si="2"/>
        <v>#DIV/0!</v>
      </c>
      <c r="Q23" s="80" t="e">
        <f>IF($J$6="SMA 3/8",AR47,IF($J$6="SMA 3/4",AN47,IF($J$6="SMA 1/2",AP47,IF($J$6="SMA No. 4",AT47,IF($J$6="SG",AH47,IF($J$6="S",AJ47,IF($J$6="SX",AL47,IF($J$6="ST",AV47,NA()))))))))</f>
        <v>#N/A</v>
      </c>
      <c r="R23" s="67" t="e">
        <f>IF($J$6="SMA 3/8",AS47,IF($J$6="SMA 3/4",AO47,IF($J$6="SMA 1/2",AQ47,IF($J$6="SMA No. 4",AU47,IF($J$6="SG",AI47,IF($J$6="S",AK47,IF($J$6="SX",AM47,IF($J$6="ST",AW47,NA()))))))))</f>
        <v>#N/A</v>
      </c>
      <c r="S23" s="3">
        <f>2.36^0.45</f>
        <v>1.4716698795820382</v>
      </c>
      <c r="T23" s="4" t="str">
        <f t="shared" si="0"/>
        <v/>
      </c>
      <c r="V23" s="4">
        <v>10</v>
      </c>
      <c r="X23" s="34" t="s">
        <v>129</v>
      </c>
      <c r="Z23" s="4">
        <v>5</v>
      </c>
      <c r="AA23" s="4" t="s">
        <v>98</v>
      </c>
      <c r="AB23" s="37" t="s">
        <v>113</v>
      </c>
      <c r="AC23" s="82" t="s">
        <v>114</v>
      </c>
      <c r="AD23" s="3">
        <f>2.36^0.45</f>
        <v>1.4716698795820382</v>
      </c>
      <c r="AE23" s="3">
        <f>2.36^0.45</f>
        <v>1.4716698795820382</v>
      </c>
      <c r="AF23" s="3">
        <f>2.36^0.45</f>
        <v>1.4716698795820382</v>
      </c>
      <c r="AG23" s="3">
        <f>2.36^0.45</f>
        <v>1.4716698795820382</v>
      </c>
      <c r="AH23" s="3">
        <f>2.36^0.45</f>
        <v>1.4716698795820382</v>
      </c>
      <c r="AJ23" s="4" t="s">
        <v>174</v>
      </c>
      <c r="AV23" s="103"/>
      <c r="AW23" s="103"/>
      <c r="BI23" s="103"/>
      <c r="BJ23" s="103"/>
    </row>
    <row r="24" spans="1:62" x14ac:dyDescent="0.2">
      <c r="A24" s="103"/>
      <c r="B24" s="105" t="s">
        <v>180</v>
      </c>
      <c r="C24" s="128" t="s">
        <v>175</v>
      </c>
      <c r="D24" s="27"/>
      <c r="E24" s="129" t="s">
        <v>16</v>
      </c>
      <c r="F24" s="10"/>
      <c r="G24" s="10"/>
      <c r="H24" s="10"/>
      <c r="I24" s="10"/>
      <c r="J24" s="10"/>
      <c r="K24" s="10"/>
      <c r="L24" s="28" t="e">
        <f t="shared" si="1"/>
        <v>#DIV/0!</v>
      </c>
      <c r="M24" s="10"/>
      <c r="N24" s="10"/>
      <c r="O24" s="44"/>
      <c r="P24" s="1" t="e">
        <f t="shared" si="2"/>
        <v>#DIV/0!</v>
      </c>
      <c r="Q24" s="80" t="e">
        <f>IF($J$6="SMA No. 4",AT48,IF($J$6="SF",BI48,NA()))</f>
        <v>#N/A</v>
      </c>
      <c r="R24" s="67" t="e">
        <f>IF($J$6="SMA No. 4",AU48,IF($J$6="SF",BJ48,NA()))</f>
        <v>#N/A</v>
      </c>
      <c r="S24" s="3">
        <f>1.18^0.45</f>
        <v>1.0773254099250416</v>
      </c>
      <c r="T24" s="4" t="str">
        <f t="shared" si="0"/>
        <v/>
      </c>
      <c r="X24" s="34" t="s">
        <v>130</v>
      </c>
      <c r="Z24" s="4">
        <v>6</v>
      </c>
      <c r="AA24" s="4" t="s">
        <v>99</v>
      </c>
      <c r="AC24" s="82" t="s">
        <v>115</v>
      </c>
      <c r="AD24" s="3">
        <f>1.18^0.45</f>
        <v>1.0773254099250416</v>
      </c>
      <c r="AE24" s="3">
        <f>1.18^0.45</f>
        <v>1.0773254099250416</v>
      </c>
      <c r="AF24" s="3">
        <f>1.18^0.45</f>
        <v>1.0773254099250416</v>
      </c>
      <c r="AG24" s="3">
        <f>1.18^0.45</f>
        <v>1.0773254099250416</v>
      </c>
      <c r="AH24" s="3">
        <f>1.18^0.45</f>
        <v>1.0773254099250416</v>
      </c>
      <c r="AJ24" s="4" t="s">
        <v>175</v>
      </c>
      <c r="AV24" s="103"/>
      <c r="AW24" s="103"/>
      <c r="BI24" s="103"/>
      <c r="BJ24" s="103"/>
    </row>
    <row r="25" spans="1:62" x14ac:dyDescent="0.2">
      <c r="A25" s="103"/>
      <c r="B25" s="105" t="s">
        <v>180</v>
      </c>
      <c r="C25" s="128" t="s">
        <v>176</v>
      </c>
      <c r="D25" s="27"/>
      <c r="E25" s="129" t="s">
        <v>17</v>
      </c>
      <c r="F25" s="10"/>
      <c r="G25" s="10"/>
      <c r="H25" s="10"/>
      <c r="I25" s="10"/>
      <c r="J25" s="10"/>
      <c r="K25" s="10"/>
      <c r="L25" s="28" t="e">
        <f t="shared" si="1"/>
        <v>#DIV/0!</v>
      </c>
      <c r="M25" s="10"/>
      <c r="N25" s="10"/>
      <c r="O25" s="44"/>
      <c r="P25" s="1" t="e">
        <f t="shared" si="2"/>
        <v>#DIV/0!</v>
      </c>
      <c r="Q25" s="80" t="e">
        <f>IF($J$6="SMA 3/8",AR49,IF($J$6="SMA 3/4",AN49,IF($J$6="SMA 1/2",AP49,IF($J$6="SMA No. 4",AT49,NA()))))</f>
        <v>#N/A</v>
      </c>
      <c r="R25" s="67" t="e">
        <f>IF($J$6="SMA 3/8",AS49,IF($J$6="SMA 3/4",AO49,IF($J$6="SMA 1/2",AQ49,IF($J$6="SMA No. 4",AU49,NA()))))</f>
        <v>#N/A</v>
      </c>
      <c r="S25" s="3">
        <f>0.6^0.45</f>
        <v>0.79463568224020453</v>
      </c>
      <c r="T25" s="4" t="str">
        <f t="shared" si="0"/>
        <v/>
      </c>
      <c r="X25" s="34" t="s">
        <v>132</v>
      </c>
      <c r="Z25" s="34" t="s">
        <v>209</v>
      </c>
      <c r="AC25" s="82" t="s">
        <v>119</v>
      </c>
      <c r="AD25" s="3">
        <f>0.6^0.45</f>
        <v>0.79463568224020453</v>
      </c>
      <c r="AE25" s="3">
        <f>0.6^0.45</f>
        <v>0.79463568224020453</v>
      </c>
      <c r="AF25" s="3">
        <f>0.6^0.45</f>
        <v>0.79463568224020453</v>
      </c>
      <c r="AG25" s="3">
        <f>0.6^0.45</f>
        <v>0.79463568224020453</v>
      </c>
      <c r="AH25" s="3">
        <f>0.6^0.45</f>
        <v>0.79463568224020453</v>
      </c>
      <c r="AJ25" s="4" t="s">
        <v>176</v>
      </c>
      <c r="AV25" s="103"/>
      <c r="AW25" s="103"/>
      <c r="BI25" s="103"/>
      <c r="BJ25" s="103"/>
    </row>
    <row r="26" spans="1:62" x14ac:dyDescent="0.2">
      <c r="A26" s="103"/>
      <c r="B26" s="105" t="s">
        <v>180</v>
      </c>
      <c r="C26" s="128" t="s">
        <v>177</v>
      </c>
      <c r="D26" s="27"/>
      <c r="E26" s="129" t="s">
        <v>18</v>
      </c>
      <c r="F26" s="10"/>
      <c r="G26" s="10"/>
      <c r="H26" s="10"/>
      <c r="I26" s="10"/>
      <c r="J26" s="10"/>
      <c r="K26" s="10"/>
      <c r="L26" s="28" t="e">
        <f t="shared" si="1"/>
        <v>#DIV/0!</v>
      </c>
      <c r="M26" s="10"/>
      <c r="N26" s="10"/>
      <c r="O26" s="44"/>
      <c r="P26" s="1" t="e">
        <f t="shared" si="2"/>
        <v>#DIV/0!</v>
      </c>
      <c r="Q26" s="80" t="e">
        <f>IF($J$6="SMA 3/8",AR50,IF($J$6="SMA No. 4",AT50,NA()))</f>
        <v>#N/A</v>
      </c>
      <c r="R26" s="67" t="e">
        <f>IF($J$6="SMA 3/8",AS50,IF($J$6="SMA No. 4",AU50,NA()))</f>
        <v>#N/A</v>
      </c>
      <c r="S26" s="3">
        <f>0.3^0.45</f>
        <v>0.58170736792793831</v>
      </c>
      <c r="T26" s="4" t="str">
        <f t="shared" si="0"/>
        <v/>
      </c>
      <c r="X26" s="34" t="s">
        <v>243</v>
      </c>
      <c r="AC26" s="82" t="s">
        <v>116</v>
      </c>
      <c r="AD26" s="3">
        <f>0.3^0.45</f>
        <v>0.58170736792793831</v>
      </c>
      <c r="AE26" s="3">
        <f>0.3^0.45</f>
        <v>0.58170736792793831</v>
      </c>
      <c r="AF26" s="3">
        <f>0.3^0.45</f>
        <v>0.58170736792793831</v>
      </c>
      <c r="AG26" s="3">
        <f>0.3^0.45</f>
        <v>0.58170736792793831</v>
      </c>
      <c r="AH26" s="3">
        <f>0.3^0.45</f>
        <v>0.58170736792793831</v>
      </c>
      <c r="AJ26" s="4" t="s">
        <v>177</v>
      </c>
      <c r="AV26" s="103"/>
      <c r="AW26" s="103"/>
      <c r="BI26" s="103"/>
      <c r="BJ26" s="103"/>
    </row>
    <row r="27" spans="1:62" x14ac:dyDescent="0.2">
      <c r="A27" s="103"/>
      <c r="B27" s="105" t="s">
        <v>180</v>
      </c>
      <c r="C27" s="128" t="s">
        <v>178</v>
      </c>
      <c r="D27" s="27"/>
      <c r="E27" s="129" t="s">
        <v>19</v>
      </c>
      <c r="F27" s="10"/>
      <c r="G27" s="10"/>
      <c r="H27" s="10"/>
      <c r="I27" s="10"/>
      <c r="J27" s="10"/>
      <c r="K27" s="10"/>
      <c r="L27" s="28" t="e">
        <f t="shared" si="1"/>
        <v>#DIV/0!</v>
      </c>
      <c r="M27" s="10"/>
      <c r="N27" s="10"/>
      <c r="O27" s="44"/>
      <c r="P27" s="1" t="e">
        <f t="shared" si="2"/>
        <v>#DIV/0!</v>
      </c>
      <c r="Q27" s="80"/>
      <c r="R27" s="67"/>
      <c r="S27" s="3">
        <f>0.15^0.45</f>
        <v>0.42583471830473674</v>
      </c>
      <c r="T27" s="4" t="str">
        <f t="shared" si="0"/>
        <v/>
      </c>
      <c r="X27" s="34" t="s">
        <v>244</v>
      </c>
      <c r="AC27" s="82" t="s">
        <v>117</v>
      </c>
      <c r="AD27" s="3">
        <f>0.15^0.45</f>
        <v>0.42583471830473674</v>
      </c>
      <c r="AE27" s="3">
        <f>0.15^0.45</f>
        <v>0.42583471830473674</v>
      </c>
      <c r="AF27" s="3">
        <f>0.15^0.45</f>
        <v>0.42583471830473674</v>
      </c>
      <c r="AG27" s="3">
        <f>0.15^0.45</f>
        <v>0.42583471830473674</v>
      </c>
      <c r="AH27" s="3">
        <f>0.15^0.45</f>
        <v>0.42583471830473674</v>
      </c>
      <c r="AJ27" s="4" t="s">
        <v>178</v>
      </c>
      <c r="AV27" s="103"/>
      <c r="AW27" s="103"/>
      <c r="BI27" s="103"/>
      <c r="BJ27" s="103"/>
    </row>
    <row r="28" spans="1:62" ht="13.5" thickBot="1" x14ac:dyDescent="0.25">
      <c r="A28" s="103"/>
      <c r="B28" s="113" t="s">
        <v>180</v>
      </c>
      <c r="C28" s="130" t="s">
        <v>179</v>
      </c>
      <c r="D28" s="47"/>
      <c r="E28" s="131" t="s">
        <v>20</v>
      </c>
      <c r="F28" s="12"/>
      <c r="G28" s="12"/>
      <c r="H28" s="12"/>
      <c r="I28" s="12"/>
      <c r="J28" s="12"/>
      <c r="K28" s="12"/>
      <c r="L28" s="58" t="e">
        <f t="shared" si="1"/>
        <v>#DIV/0!</v>
      </c>
      <c r="M28" s="12"/>
      <c r="N28" s="12"/>
      <c r="O28" s="45"/>
      <c r="P28" s="2" t="e">
        <f t="shared" si="2"/>
        <v>#DIV/0!</v>
      </c>
      <c r="Q28" s="81" t="e">
        <f>IF($J$6="SMA 3/8",AR52,IF($J$6="SMA 3/4",AN52,IF($J$6="SMA 1/2",AP52,IF($J$6="SMA No. 4",AT52,IF($J$6="SG",AH52,IF($J$6="S",AJ52,IF($J$6="SX",AL52,IF($J$6="ST",AV52,IF($J$6="SF",BI52,NA())))))))))</f>
        <v>#N/A</v>
      </c>
      <c r="R28" s="68" t="e">
        <f>IF($J$6="SMA 3/8",AS52,IF($J$6="SMA 3/4",AO52,IF($J$6="SMA 1/2",AQ52,IF($J$6="SMA No. 4",AU52,IF($J$6="SG",AI52,IF($J$6="S",AK52,IF($J$6="SX",AM52,IF($J$6="ST",AW52,IF($J$6="SF",BJ52,NA())))))))))</f>
        <v>#N/A</v>
      </c>
      <c r="S28" s="3">
        <f>0.075^0.45</f>
        <v>0.31172925995349998</v>
      </c>
      <c r="T28" s="4" t="str">
        <f t="shared" si="0"/>
        <v/>
      </c>
      <c r="AC28" s="82" t="s">
        <v>118</v>
      </c>
      <c r="AD28" s="3">
        <f>0.075^0.45</f>
        <v>0.31172925995349998</v>
      </c>
      <c r="AE28" s="3">
        <f>0.075^0.45</f>
        <v>0.31172925995349998</v>
      </c>
      <c r="AF28" s="3">
        <f>0.075^0.45</f>
        <v>0.31172925995349998</v>
      </c>
      <c r="AG28" s="3">
        <f>0.075^0.45</f>
        <v>0.31172925995349998</v>
      </c>
      <c r="AH28" s="3">
        <f>0.075^0.45</f>
        <v>0.31172925995349998</v>
      </c>
      <c r="AJ28" s="4" t="s">
        <v>179</v>
      </c>
      <c r="AV28" s="103"/>
      <c r="AW28" s="103"/>
      <c r="BI28" s="103"/>
      <c r="BJ28" s="103"/>
    </row>
    <row r="29" spans="1:62" x14ac:dyDescent="0.2">
      <c r="A29" s="103"/>
      <c r="B29" s="105" t="s">
        <v>71</v>
      </c>
      <c r="C29" s="27"/>
      <c r="D29" s="27"/>
      <c r="E29" s="129"/>
      <c r="F29" s="14"/>
      <c r="G29" s="14"/>
      <c r="H29" s="14"/>
      <c r="I29" s="8"/>
      <c r="J29" s="8"/>
      <c r="K29" s="8"/>
      <c r="L29" s="70"/>
      <c r="M29" s="8"/>
      <c r="N29" s="8"/>
      <c r="O29" s="46"/>
      <c r="P29" s="132"/>
      <c r="Q29" s="133"/>
      <c r="R29" s="134" t="s">
        <v>32</v>
      </c>
      <c r="S29" s="3">
        <v>0</v>
      </c>
      <c r="T29" s="4" t="str">
        <f t="shared" si="0"/>
        <v/>
      </c>
      <c r="AC29" s="3">
        <v>0</v>
      </c>
      <c r="AV29" s="103"/>
      <c r="AW29" s="103"/>
      <c r="BI29" s="103"/>
      <c r="BJ29" s="103"/>
    </row>
    <row r="30" spans="1:62" x14ac:dyDescent="0.2">
      <c r="A30" s="103"/>
      <c r="B30" s="105" t="s">
        <v>75</v>
      </c>
      <c r="C30" s="27"/>
      <c r="D30" s="27"/>
      <c r="E30" s="27"/>
      <c r="F30" s="15"/>
      <c r="G30" s="15"/>
      <c r="H30" s="15"/>
      <c r="I30" s="15"/>
      <c r="J30" s="15"/>
      <c r="K30" s="15"/>
      <c r="L30" s="31"/>
      <c r="M30" s="163" t="str">
        <f>IF(M11=$U$11,IF(M31=""," ",(100*$P$36*M31)/((0.61*M31)+100*$P$36)),IF(OR(M11=$U$12,M11=$U$13),M31," "))</f>
        <v xml:space="preserve"> </v>
      </c>
      <c r="N30" s="163" t="str">
        <f t="shared" ref="N30:O30" si="3">IF(N11=$U$11,IF(N31=""," ",(100*$P$36*N31)/((0.61*N31)+100*$P$36)),IF(OR(N11=$U$12,N11=$U$13),N31," "))</f>
        <v xml:space="preserve"> </v>
      </c>
      <c r="O30" s="163" t="str">
        <f t="shared" si="3"/>
        <v xml:space="preserve"> </v>
      </c>
      <c r="P30" s="163" t="e">
        <f>BH30</f>
        <v>#DIV/0!</v>
      </c>
      <c r="Q30" s="129"/>
      <c r="R30" s="104"/>
      <c r="S30" s="3"/>
      <c r="T30" s="3"/>
      <c r="V30" s="4">
        <v>0</v>
      </c>
      <c r="AV30" s="103"/>
      <c r="AW30" s="103"/>
      <c r="AX30" s="158" t="str">
        <f>IF(F30&gt;1,F16/F30," ")</f>
        <v xml:space="preserve"> </v>
      </c>
      <c r="AY30" s="158" t="str">
        <f t="shared" ref="AY30:BC30" si="4">IF(G30&gt;1,G16/G30," ")</f>
        <v xml:space="preserve"> </v>
      </c>
      <c r="AZ30" s="158" t="str">
        <f t="shared" si="4"/>
        <v xml:space="preserve"> </v>
      </c>
      <c r="BA30" s="158" t="str">
        <f t="shared" si="4"/>
        <v xml:space="preserve"> </v>
      </c>
      <c r="BB30" s="158" t="str">
        <f>IF(J30&gt;1,J16/J30," ")</f>
        <v xml:space="preserve"> </v>
      </c>
      <c r="BC30" s="158" t="str">
        <f t="shared" si="4"/>
        <v xml:space="preserve"> </v>
      </c>
      <c r="BD30" s="103"/>
      <c r="BE30" s="158" t="str">
        <f>IF(M30&lt;&gt;" ",M16/M30,"")</f>
        <v/>
      </c>
      <c r="BF30" s="158" t="str">
        <f>IF(N30&lt;&gt;" ",N16/N30,"")</f>
        <v/>
      </c>
      <c r="BG30" s="158" t="str">
        <f>IF(O30&lt;&gt;" ",O16/O30,"")</f>
        <v/>
      </c>
      <c r="BH30" s="164" t="e">
        <f>P16/SUM(AX30:BG30)</f>
        <v>#DIV/0!</v>
      </c>
      <c r="BI30" s="103"/>
      <c r="BJ30" s="103"/>
    </row>
    <row r="31" spans="1:62" x14ac:dyDescent="0.2">
      <c r="A31" s="103"/>
      <c r="B31" s="105" t="s">
        <v>77</v>
      </c>
      <c r="C31" s="27"/>
      <c r="D31" s="27"/>
      <c r="E31" s="27"/>
      <c r="F31" s="15"/>
      <c r="G31" s="15"/>
      <c r="H31" s="15"/>
      <c r="I31" s="15"/>
      <c r="J31" s="15"/>
      <c r="K31" s="15"/>
      <c r="L31" s="31"/>
      <c r="M31" s="15"/>
      <c r="N31" s="15"/>
      <c r="O31" s="42"/>
      <c r="P31" s="15"/>
      <c r="Q31" s="129"/>
      <c r="R31" s="104"/>
      <c r="S31" s="3"/>
      <c r="T31" s="3"/>
      <c r="AV31" s="103"/>
      <c r="AW31" s="103"/>
      <c r="BI31" s="103"/>
      <c r="BJ31" s="103"/>
    </row>
    <row r="32" spans="1:62" x14ac:dyDescent="0.2">
      <c r="A32" s="103"/>
      <c r="B32" s="105" t="s">
        <v>80</v>
      </c>
      <c r="C32" s="27"/>
      <c r="D32" s="27"/>
      <c r="E32" s="27"/>
      <c r="F32" s="16"/>
      <c r="G32" s="16"/>
      <c r="H32" s="16"/>
      <c r="I32" s="16"/>
      <c r="J32" s="16"/>
      <c r="K32" s="16"/>
      <c r="L32" s="135"/>
      <c r="M32" s="16"/>
      <c r="N32" s="16"/>
      <c r="O32" s="42"/>
      <c r="P32" s="15"/>
      <c r="Q32" s="129"/>
      <c r="R32" s="104"/>
      <c r="S32" s="3"/>
      <c r="T32" s="3"/>
      <c r="AV32" s="103"/>
      <c r="AW32" s="103"/>
      <c r="BI32" s="103"/>
      <c r="BJ32" s="103"/>
    </row>
    <row r="33" spans="1:62" x14ac:dyDescent="0.2">
      <c r="A33" s="103"/>
      <c r="B33" s="105" t="s">
        <v>76</v>
      </c>
      <c r="C33" s="27"/>
      <c r="D33" s="27"/>
      <c r="E33" s="27"/>
      <c r="F33" s="55" t="s">
        <v>22</v>
      </c>
      <c r="G33" s="55"/>
      <c r="H33" s="55"/>
      <c r="I33" s="55"/>
      <c r="J33" s="55"/>
      <c r="K33" s="55"/>
      <c r="L33" s="55"/>
      <c r="M33" s="55"/>
      <c r="N33" s="55"/>
      <c r="O33" s="70"/>
      <c r="P33" s="31" t="e">
        <f>(100-$G$49)/((100/$E$49)-($G$49/$P$36))</f>
        <v>#DIV/0!</v>
      </c>
      <c r="Q33" s="129"/>
      <c r="R33" s="104"/>
      <c r="S33" s="3"/>
      <c r="T33" s="3"/>
      <c r="AV33" s="103"/>
      <c r="AW33" s="103"/>
      <c r="BI33" s="103"/>
      <c r="BJ33" s="103"/>
    </row>
    <row r="34" spans="1:62" x14ac:dyDescent="0.2">
      <c r="A34" s="103"/>
      <c r="B34" s="105" t="s">
        <v>78</v>
      </c>
      <c r="C34" s="27"/>
      <c r="D34" s="27"/>
      <c r="E34" s="27"/>
      <c r="F34" s="55" t="s">
        <v>22</v>
      </c>
      <c r="G34" s="55"/>
      <c r="H34" s="55"/>
      <c r="I34" s="55"/>
      <c r="J34" s="55"/>
      <c r="K34" s="55"/>
      <c r="L34" s="55"/>
      <c r="M34" s="55"/>
      <c r="N34" s="55"/>
      <c r="O34" s="111"/>
      <c r="P34" s="15"/>
      <c r="Q34" s="129"/>
      <c r="R34" s="104"/>
      <c r="S34" s="3"/>
      <c r="T34" s="3"/>
      <c r="AV34" s="103"/>
      <c r="AW34" s="103"/>
      <c r="BI34" s="103"/>
      <c r="BJ34" s="103"/>
    </row>
    <row r="35" spans="1:62" x14ac:dyDescent="0.2">
      <c r="A35" s="103"/>
      <c r="B35" s="105" t="s">
        <v>79</v>
      </c>
      <c r="C35" s="27"/>
      <c r="D35" s="27"/>
      <c r="E35" s="27"/>
      <c r="F35" s="55"/>
      <c r="G35" s="55"/>
      <c r="H35" s="55"/>
      <c r="I35" s="55"/>
      <c r="J35" s="55"/>
      <c r="K35" s="55"/>
      <c r="L35" s="55"/>
      <c r="M35" s="55"/>
      <c r="N35" s="55"/>
      <c r="O35" s="111"/>
      <c r="P35" s="15"/>
      <c r="Q35" s="129"/>
      <c r="R35" s="104"/>
      <c r="S35" s="3"/>
      <c r="T35" s="3"/>
      <c r="AV35" s="103"/>
      <c r="AW35" s="158"/>
      <c r="BI35" s="103"/>
      <c r="BJ35" s="103"/>
    </row>
    <row r="36" spans="1:62" x14ac:dyDescent="0.2">
      <c r="A36" s="103"/>
      <c r="B36" s="105" t="s">
        <v>86</v>
      </c>
      <c r="C36" s="27"/>
      <c r="D36" s="27"/>
      <c r="E36" s="27"/>
      <c r="F36" s="27"/>
      <c r="G36" s="27"/>
      <c r="H36" s="27"/>
      <c r="I36" s="27"/>
      <c r="J36" s="55"/>
      <c r="K36" s="55"/>
      <c r="L36" s="55"/>
      <c r="M36" s="55"/>
      <c r="N36" s="55"/>
      <c r="O36" s="111"/>
      <c r="P36" s="15"/>
      <c r="Q36" s="129"/>
      <c r="R36" s="104"/>
      <c r="S36" s="3"/>
      <c r="T36" s="3"/>
      <c r="AV36" s="103"/>
      <c r="AW36" s="24"/>
      <c r="BI36" s="103"/>
      <c r="BJ36" s="103"/>
    </row>
    <row r="37" spans="1:62" x14ac:dyDescent="0.2">
      <c r="A37" s="103"/>
      <c r="B37" s="105" t="s">
        <v>72</v>
      </c>
      <c r="C37" s="27"/>
      <c r="D37" s="27"/>
      <c r="E37" s="27"/>
      <c r="F37" s="27"/>
      <c r="G37" s="111"/>
      <c r="H37" s="27"/>
      <c r="I37" s="27"/>
      <c r="J37" s="55"/>
      <c r="K37" s="55"/>
      <c r="L37" s="55"/>
      <c r="M37" s="55"/>
      <c r="N37" s="55"/>
      <c r="O37" s="111"/>
      <c r="P37" s="17"/>
      <c r="Q37" s="129"/>
      <c r="R37" s="75"/>
      <c r="S37" s="3"/>
      <c r="T37" s="3"/>
      <c r="AH37" s="34" t="s">
        <v>127</v>
      </c>
      <c r="AV37" s="103"/>
      <c r="AW37" s="24"/>
      <c r="BI37" s="103"/>
      <c r="BJ37" s="103"/>
    </row>
    <row r="38" spans="1:62" x14ac:dyDescent="0.2">
      <c r="A38" s="103"/>
      <c r="B38" s="105" t="s">
        <v>168</v>
      </c>
      <c r="C38" s="27"/>
      <c r="D38" s="27"/>
      <c r="E38" s="27"/>
      <c r="F38" s="27"/>
      <c r="G38" s="111"/>
      <c r="H38" s="55" t="s">
        <v>22</v>
      </c>
      <c r="I38" s="27"/>
      <c r="J38" s="55"/>
      <c r="K38" s="55"/>
      <c r="L38" s="55"/>
      <c r="M38" s="55"/>
      <c r="N38" s="55"/>
      <c r="O38" s="111"/>
      <c r="P38" s="8"/>
      <c r="Q38" s="136" t="s">
        <v>63</v>
      </c>
      <c r="R38" s="57" t="s">
        <v>59</v>
      </c>
      <c r="S38" s="3"/>
      <c r="T38" s="3"/>
      <c r="Z38" s="34" t="s">
        <v>126</v>
      </c>
      <c r="AA38" s="4" t="s">
        <v>120</v>
      </c>
      <c r="AB38" s="4" t="s">
        <v>121</v>
      </c>
      <c r="AC38" s="4" t="s">
        <v>122</v>
      </c>
      <c r="AD38" s="4" t="s">
        <v>123</v>
      </c>
      <c r="AH38" s="188" t="s">
        <v>83</v>
      </c>
      <c r="AI38" s="188"/>
      <c r="AJ38" s="188" t="s">
        <v>82</v>
      </c>
      <c r="AK38" s="188"/>
      <c r="AL38" s="188" t="s">
        <v>54</v>
      </c>
      <c r="AM38" s="188"/>
      <c r="AN38" s="188" t="s">
        <v>128</v>
      </c>
      <c r="AO38" s="188"/>
      <c r="AP38" s="188" t="s">
        <v>129</v>
      </c>
      <c r="AQ38" s="188"/>
      <c r="AR38" s="188" t="s">
        <v>130</v>
      </c>
      <c r="AS38" s="188"/>
      <c r="AT38" s="188" t="s">
        <v>131</v>
      </c>
      <c r="AU38" s="188"/>
      <c r="AV38" s="190" t="s">
        <v>243</v>
      </c>
      <c r="AW38" s="191"/>
      <c r="BI38" s="190" t="s">
        <v>244</v>
      </c>
      <c r="BJ38" s="191"/>
    </row>
    <row r="39" spans="1:62" x14ac:dyDescent="0.2">
      <c r="A39" s="103"/>
      <c r="B39" s="105" t="s">
        <v>73</v>
      </c>
      <c r="C39" s="27"/>
      <c r="D39" s="27"/>
      <c r="E39" s="27"/>
      <c r="F39" s="43"/>
      <c r="G39" s="77"/>
      <c r="H39" s="43"/>
      <c r="I39" s="43"/>
      <c r="J39" s="43"/>
      <c r="K39" s="43"/>
      <c r="L39" s="55"/>
      <c r="M39" s="55"/>
      <c r="N39" s="55"/>
      <c r="O39" s="111"/>
      <c r="P39" s="70"/>
      <c r="Q39" s="129"/>
      <c r="R39" s="57" t="str">
        <f>IF($J$6="SMA 3/4","30 max",IF($J$6="SMA 1/2","30 max",IF($J$6="SMA 3/8","30 max",IF($J$6="SMA No. 4","30 max","45 max"))))</f>
        <v>45 max</v>
      </c>
      <c r="S39" s="3"/>
      <c r="T39" s="3"/>
      <c r="U39" s="3" t="s">
        <v>192</v>
      </c>
      <c r="AE39" s="34" t="s">
        <v>210</v>
      </c>
      <c r="AH39" s="34" t="s">
        <v>133</v>
      </c>
      <c r="AI39" s="34" t="s">
        <v>134</v>
      </c>
      <c r="AJ39" s="34" t="s">
        <v>133</v>
      </c>
      <c r="AK39" s="34" t="s">
        <v>134</v>
      </c>
      <c r="AL39" s="34" t="s">
        <v>133</v>
      </c>
      <c r="AM39" s="34" t="s">
        <v>134</v>
      </c>
      <c r="AN39" s="34" t="s">
        <v>133</v>
      </c>
      <c r="AO39" s="34" t="s">
        <v>134</v>
      </c>
      <c r="AP39" s="34" t="s">
        <v>133</v>
      </c>
      <c r="AQ39" s="34" t="s">
        <v>134</v>
      </c>
      <c r="AR39" s="34" t="s">
        <v>133</v>
      </c>
      <c r="AS39" s="34" t="s">
        <v>134</v>
      </c>
      <c r="AT39" s="34" t="s">
        <v>133</v>
      </c>
      <c r="AU39" s="34" t="s">
        <v>134</v>
      </c>
      <c r="AV39" s="34" t="s">
        <v>133</v>
      </c>
      <c r="AW39" s="34" t="s">
        <v>134</v>
      </c>
      <c r="BI39" s="158" t="s">
        <v>133</v>
      </c>
      <c r="BJ39" s="158" t="s">
        <v>134</v>
      </c>
    </row>
    <row r="40" spans="1:62" x14ac:dyDescent="0.2">
      <c r="A40" s="103"/>
      <c r="B40" s="105" t="s">
        <v>169</v>
      </c>
      <c r="C40" s="27"/>
      <c r="D40" s="27"/>
      <c r="E40" s="27"/>
      <c r="F40" s="27"/>
      <c r="G40" s="111"/>
      <c r="H40" s="55" t="s">
        <v>22</v>
      </c>
      <c r="I40" s="27"/>
      <c r="J40" s="55"/>
      <c r="K40" s="55"/>
      <c r="L40" s="55"/>
      <c r="M40" s="55"/>
      <c r="N40" s="55"/>
      <c r="O40" s="111"/>
      <c r="P40" s="8"/>
      <c r="Q40" s="129"/>
      <c r="R40" s="137" t="s">
        <v>87</v>
      </c>
      <c r="S40" s="3"/>
      <c r="T40" s="3"/>
      <c r="U40" s="3" t="s">
        <v>193</v>
      </c>
      <c r="X40" s="82" t="s">
        <v>112</v>
      </c>
      <c r="Y40" s="3">
        <f>37.5^0.45</f>
        <v>5.1087431744234335</v>
      </c>
      <c r="AE40" s="38" t="s">
        <v>124</v>
      </c>
      <c r="AF40" s="39" t="s">
        <v>125</v>
      </c>
      <c r="AG40" s="89" t="s">
        <v>112</v>
      </c>
      <c r="AI40" s="4">
        <v>100</v>
      </c>
      <c r="AV40" s="103"/>
      <c r="AW40" s="103"/>
      <c r="BI40" s="103"/>
      <c r="BJ40" s="103"/>
    </row>
    <row r="41" spans="1:62" x14ac:dyDescent="0.2">
      <c r="A41" s="103"/>
      <c r="B41" s="105" t="s">
        <v>145</v>
      </c>
      <c r="C41" s="27"/>
      <c r="D41" s="27"/>
      <c r="E41" s="27"/>
      <c r="F41" s="27"/>
      <c r="G41" s="111"/>
      <c r="H41" s="55"/>
      <c r="I41" s="27"/>
      <c r="J41" s="55"/>
      <c r="K41" s="55"/>
      <c r="L41" s="55"/>
      <c r="M41" s="55"/>
      <c r="N41" s="55"/>
      <c r="O41" s="111"/>
      <c r="P41" s="8"/>
      <c r="Q41" s="129"/>
      <c r="R41" s="137" t="s">
        <v>199</v>
      </c>
      <c r="S41" s="3"/>
      <c r="T41" s="3"/>
      <c r="U41" s="3" t="s">
        <v>194</v>
      </c>
      <c r="X41" s="82"/>
      <c r="Y41" s="3"/>
      <c r="AE41" s="38"/>
      <c r="AF41" s="39"/>
      <c r="AG41" s="90"/>
      <c r="AV41" s="103"/>
      <c r="AW41" s="103"/>
      <c r="BI41" s="103"/>
      <c r="BJ41" s="103"/>
    </row>
    <row r="42" spans="1:62" x14ac:dyDescent="0.2">
      <c r="A42" s="103"/>
      <c r="B42" s="138" t="s">
        <v>167</v>
      </c>
      <c r="C42" s="27"/>
      <c r="D42" s="27"/>
      <c r="E42" s="27"/>
      <c r="F42" s="27"/>
      <c r="G42" s="111"/>
      <c r="H42" s="55"/>
      <c r="I42" s="27"/>
      <c r="J42" s="55"/>
      <c r="K42" s="55"/>
      <c r="L42" s="8"/>
      <c r="M42" s="55"/>
      <c r="N42" s="55"/>
      <c r="O42" s="111"/>
      <c r="P42" s="103"/>
      <c r="Q42" s="129"/>
      <c r="R42" s="137" t="s">
        <v>198</v>
      </c>
      <c r="S42" s="3"/>
      <c r="T42" s="3"/>
      <c r="U42" s="3" t="s">
        <v>195</v>
      </c>
      <c r="X42" s="82"/>
      <c r="Y42" s="3"/>
      <c r="AE42" s="38"/>
      <c r="AF42" s="39"/>
      <c r="AG42" s="91" t="s">
        <v>113</v>
      </c>
      <c r="AH42" s="4">
        <v>90</v>
      </c>
      <c r="AI42" s="4">
        <v>100</v>
      </c>
      <c r="AK42" s="4">
        <v>100</v>
      </c>
      <c r="AO42" s="4">
        <v>100</v>
      </c>
      <c r="AV42" s="103"/>
      <c r="AW42" s="103"/>
      <c r="BI42" s="103"/>
      <c r="BJ42" s="103"/>
    </row>
    <row r="43" spans="1:62" ht="13.5" thickBot="1" x14ac:dyDescent="0.25">
      <c r="A43" s="103"/>
      <c r="B43" s="139"/>
      <c r="C43" s="78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47" t="s">
        <v>265</v>
      </c>
      <c r="P43" s="140"/>
      <c r="Q43" s="114"/>
      <c r="R43" s="141"/>
      <c r="S43" s="3"/>
      <c r="T43" s="3"/>
      <c r="X43" s="82" t="s">
        <v>113</v>
      </c>
      <c r="Y43" s="3">
        <f>25^0.45</f>
        <v>4.2566996126039234</v>
      </c>
      <c r="Z43" s="3">
        <f>37.5^0.45</f>
        <v>5.1087431744234335</v>
      </c>
      <c r="AA43" s="3">
        <f>25^0.45</f>
        <v>4.2566996126039234</v>
      </c>
      <c r="AB43" s="3">
        <f>19^0.45</f>
        <v>3.7621761023862978</v>
      </c>
      <c r="AC43" s="3">
        <f>12.5^0.45</f>
        <v>3.116086507375345</v>
      </c>
      <c r="AD43" s="3">
        <f>9.5^0.45</f>
        <v>2.754074108566122</v>
      </c>
      <c r="AE43" s="40">
        <v>100</v>
      </c>
      <c r="AF43" s="38" t="b">
        <f>IF($M$6="1",Z43,IF($M$6="3/4",AA43,IF($M$6="1/2",AB43,IF($M$6="3/8",AC43,IF($M$6="No. 4",AD43)))))</f>
        <v>0</v>
      </c>
      <c r="AG43" s="91" t="s">
        <v>110</v>
      </c>
      <c r="AJ43" s="4">
        <v>90</v>
      </c>
      <c r="AK43" s="4">
        <v>100</v>
      </c>
      <c r="AM43" s="4">
        <v>100</v>
      </c>
      <c r="AN43" s="4">
        <v>90</v>
      </c>
      <c r="AO43" s="4">
        <v>100</v>
      </c>
      <c r="AQ43" s="4">
        <v>100</v>
      </c>
      <c r="AV43" s="103"/>
      <c r="AW43" s="103"/>
      <c r="BI43" s="103"/>
      <c r="BJ43" s="103"/>
    </row>
    <row r="44" spans="1:62" ht="13.5" thickBot="1" x14ac:dyDescent="0.25">
      <c r="A44" s="103"/>
      <c r="B44" s="47"/>
      <c r="C44" s="47"/>
      <c r="D44" s="47"/>
      <c r="E44" s="131"/>
      <c r="F44" s="78"/>
      <c r="G44" s="78"/>
      <c r="H44" s="78"/>
      <c r="I44" s="78"/>
      <c r="J44" s="78"/>
      <c r="K44" s="78"/>
      <c r="L44" s="78"/>
      <c r="M44" s="78"/>
      <c r="N44" s="78"/>
      <c r="O44" s="47"/>
      <c r="P44" s="47"/>
      <c r="Q44" s="131"/>
      <c r="R44" s="47"/>
      <c r="S44" s="3"/>
      <c r="T44" s="3"/>
      <c r="X44" s="82" t="s">
        <v>109</v>
      </c>
      <c r="Y44" s="3">
        <f>12.5^0.45</f>
        <v>3.116086507375345</v>
      </c>
      <c r="AE44" s="4">
        <v>0</v>
      </c>
      <c r="AF44" s="4">
        <v>0</v>
      </c>
      <c r="AG44" s="91" t="s">
        <v>109</v>
      </c>
      <c r="AL44" s="32">
        <v>90</v>
      </c>
      <c r="AM44" s="32">
        <v>100</v>
      </c>
      <c r="AN44" s="32">
        <v>50</v>
      </c>
      <c r="AO44" s="32">
        <v>88</v>
      </c>
      <c r="AP44" s="32">
        <v>90</v>
      </c>
      <c r="AQ44" s="32">
        <v>100</v>
      </c>
      <c r="AR44" s="32"/>
      <c r="AS44" s="32">
        <v>100</v>
      </c>
      <c r="AT44" s="32"/>
      <c r="AU44" s="32">
        <v>100</v>
      </c>
      <c r="AV44" s="103"/>
      <c r="AW44" s="103">
        <v>100</v>
      </c>
      <c r="BI44" s="103"/>
      <c r="BJ44" s="103"/>
    </row>
    <row r="45" spans="1:62" x14ac:dyDescent="0.2">
      <c r="A45" s="103"/>
      <c r="B45" s="185">
        <f>B1</f>
        <v>0</v>
      </c>
      <c r="C45" s="186"/>
      <c r="D45" s="187"/>
      <c r="E45" s="187"/>
      <c r="F45" s="187"/>
      <c r="G45" s="187"/>
      <c r="H45" s="187"/>
      <c r="I45" s="27"/>
      <c r="J45" s="27"/>
      <c r="K45" s="27"/>
      <c r="L45" s="27"/>
      <c r="M45" s="27"/>
      <c r="N45" s="27"/>
      <c r="O45" s="142" t="s">
        <v>62</v>
      </c>
      <c r="P45" s="59"/>
      <c r="Q45" s="143">
        <f>Q1</f>
        <v>0</v>
      </c>
      <c r="R45" s="144"/>
      <c r="S45" s="3"/>
      <c r="T45" s="3"/>
      <c r="X45" s="82" t="s">
        <v>108</v>
      </c>
      <c r="Y45" s="3">
        <f>9.5^0.45</f>
        <v>2.754074108566122</v>
      </c>
      <c r="AG45" s="91" t="s">
        <v>108</v>
      </c>
      <c r="AN45" s="32">
        <v>25</v>
      </c>
      <c r="AO45" s="32">
        <v>60</v>
      </c>
      <c r="AP45" s="32">
        <v>50</v>
      </c>
      <c r="AQ45" s="32">
        <v>80</v>
      </c>
      <c r="AR45" s="32">
        <v>90</v>
      </c>
      <c r="AS45" s="32">
        <v>100</v>
      </c>
      <c r="AT45" s="32"/>
      <c r="AU45" s="32">
        <v>100</v>
      </c>
      <c r="AV45" s="32">
        <v>90</v>
      </c>
      <c r="AW45" s="32">
        <v>100</v>
      </c>
      <c r="BI45" s="103"/>
      <c r="BJ45" s="103">
        <v>100</v>
      </c>
    </row>
    <row r="46" spans="1:62" x14ac:dyDescent="0.2">
      <c r="A46" s="103"/>
      <c r="B46" s="142" t="str">
        <f>B2</f>
        <v>Laboratory Design for Asphalt</v>
      </c>
      <c r="C46" s="59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142"/>
      <c r="P46" s="59"/>
      <c r="Q46" s="145"/>
      <c r="R46" s="144"/>
      <c r="S46" s="3"/>
      <c r="T46" s="3"/>
      <c r="X46" s="82" t="s">
        <v>105</v>
      </c>
      <c r="Y46" s="3">
        <f>4.75^0.45</f>
        <v>2.0161002539629291</v>
      </c>
      <c r="AG46" s="90" t="s">
        <v>173</v>
      </c>
      <c r="AN46" s="4">
        <v>20</v>
      </c>
      <c r="AO46" s="4">
        <v>28</v>
      </c>
      <c r="AP46" s="4">
        <v>20</v>
      </c>
      <c r="AQ46" s="4">
        <v>35</v>
      </c>
      <c r="AR46" s="4">
        <v>26</v>
      </c>
      <c r="AS46" s="4">
        <v>60</v>
      </c>
      <c r="AT46" s="4">
        <v>90</v>
      </c>
      <c r="AU46" s="4">
        <v>100</v>
      </c>
      <c r="AV46" s="103"/>
      <c r="AW46" s="103"/>
      <c r="BI46" s="103">
        <v>90</v>
      </c>
      <c r="BJ46" s="103">
        <v>100</v>
      </c>
    </row>
    <row r="47" spans="1:62" ht="13.5" thickBot="1" x14ac:dyDescent="0.25">
      <c r="A47" s="103"/>
      <c r="B47" s="146"/>
      <c r="C47" s="1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148"/>
      <c r="P47" s="47"/>
      <c r="Q47" s="147"/>
      <c r="R47" s="149"/>
      <c r="S47" s="3"/>
      <c r="T47" s="3"/>
      <c r="X47" s="82" t="s">
        <v>114</v>
      </c>
      <c r="Y47" s="3">
        <f>2.36^0.45</f>
        <v>1.4716698795820382</v>
      </c>
      <c r="AG47" s="90" t="s">
        <v>174</v>
      </c>
      <c r="AH47" s="4">
        <v>19</v>
      </c>
      <c r="AI47" s="4">
        <v>45</v>
      </c>
      <c r="AJ47" s="4">
        <v>23</v>
      </c>
      <c r="AK47" s="4">
        <v>49</v>
      </c>
      <c r="AL47" s="4">
        <v>28</v>
      </c>
      <c r="AM47" s="4">
        <v>58</v>
      </c>
      <c r="AN47" s="34">
        <v>16</v>
      </c>
      <c r="AO47" s="4">
        <v>24</v>
      </c>
      <c r="AP47" s="4">
        <v>16</v>
      </c>
      <c r="AQ47" s="4">
        <v>24</v>
      </c>
      <c r="AR47" s="4">
        <v>20</v>
      </c>
      <c r="AS47" s="4">
        <v>28</v>
      </c>
      <c r="AT47" s="4">
        <v>28</v>
      </c>
      <c r="AU47" s="4">
        <v>65</v>
      </c>
      <c r="AV47" s="4">
        <v>28</v>
      </c>
      <c r="AW47" s="4">
        <v>58</v>
      </c>
      <c r="BI47" s="103"/>
      <c r="BJ47" s="103"/>
    </row>
    <row r="48" spans="1:62" x14ac:dyDescent="0.2">
      <c r="A48" s="103"/>
      <c r="B48" s="142" t="s">
        <v>67</v>
      </c>
      <c r="C48" s="59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144"/>
      <c r="S48" s="3"/>
      <c r="T48" s="3"/>
      <c r="X48" s="82" t="s">
        <v>115</v>
      </c>
      <c r="Y48" s="3">
        <f>1.18^0.45</f>
        <v>1.0773254099250416</v>
      </c>
      <c r="AG48" s="90" t="s">
        <v>175</v>
      </c>
      <c r="AT48" s="4">
        <v>22</v>
      </c>
      <c r="AU48" s="4">
        <v>36</v>
      </c>
      <c r="AV48" s="103"/>
      <c r="AW48" s="103"/>
      <c r="BI48" s="103">
        <v>30</v>
      </c>
      <c r="BJ48" s="103">
        <v>54</v>
      </c>
    </row>
    <row r="49" spans="1:62" x14ac:dyDescent="0.2">
      <c r="A49" s="103"/>
      <c r="B49" s="142"/>
      <c r="C49" s="59"/>
      <c r="D49" s="27" t="s">
        <v>51</v>
      </c>
      <c r="E49" s="18"/>
      <c r="F49" s="120" t="s">
        <v>52</v>
      </c>
      <c r="G49" s="19"/>
      <c r="H49" s="27" t="s">
        <v>53</v>
      </c>
      <c r="I49" s="27"/>
      <c r="J49" s="27"/>
      <c r="K49" s="27"/>
      <c r="L49" s="27"/>
      <c r="M49" s="27"/>
      <c r="N49" s="27"/>
      <c r="O49" s="27"/>
      <c r="P49" s="103"/>
      <c r="Q49" s="27" t="s">
        <v>147</v>
      </c>
      <c r="R49" s="144"/>
      <c r="S49" s="3"/>
      <c r="T49" s="3"/>
      <c r="X49" s="82" t="s">
        <v>119</v>
      </c>
      <c r="Y49" s="3">
        <f>0.6^0.45</f>
        <v>0.79463568224020453</v>
      </c>
      <c r="AG49" s="90" t="s">
        <v>176</v>
      </c>
      <c r="AN49" s="4">
        <v>12</v>
      </c>
      <c r="AO49" s="4">
        <v>18</v>
      </c>
      <c r="AP49" s="4">
        <v>12</v>
      </c>
      <c r="AQ49" s="4">
        <v>18</v>
      </c>
      <c r="AR49" s="4">
        <v>12</v>
      </c>
      <c r="AS49" s="4">
        <v>18</v>
      </c>
      <c r="AT49" s="4">
        <v>18</v>
      </c>
      <c r="AU49" s="4">
        <v>28</v>
      </c>
      <c r="AV49" s="103"/>
      <c r="AW49" s="103"/>
      <c r="BI49" s="103"/>
      <c r="BJ49" s="103"/>
    </row>
    <row r="50" spans="1:62" x14ac:dyDescent="0.2">
      <c r="A50" s="103"/>
      <c r="B50" s="150"/>
      <c r="C50" s="27"/>
      <c r="D50" s="27" t="s">
        <v>81</v>
      </c>
      <c r="E50" s="27"/>
      <c r="F50" s="27"/>
      <c r="G50" s="27"/>
      <c r="H50" s="19"/>
      <c r="I50" s="19"/>
      <c r="J50" s="19"/>
      <c r="K50" s="19"/>
      <c r="L50" s="19"/>
      <c r="M50" s="27" t="s">
        <v>57</v>
      </c>
      <c r="N50" s="27"/>
      <c r="O50" s="27"/>
      <c r="P50" s="27"/>
      <c r="Q50" s="30">
        <f>G49</f>
        <v>0</v>
      </c>
      <c r="R50" s="144" t="s">
        <v>148</v>
      </c>
      <c r="S50" s="3"/>
      <c r="T50" s="3"/>
      <c r="X50" s="82" t="s">
        <v>116</v>
      </c>
      <c r="Y50" s="3">
        <f>0.3^0.45</f>
        <v>0.58170736792793831</v>
      </c>
      <c r="AG50" s="90" t="s">
        <v>177</v>
      </c>
      <c r="AR50" s="4">
        <v>10</v>
      </c>
      <c r="AS50" s="4">
        <v>15</v>
      </c>
      <c r="AT50" s="4">
        <v>15</v>
      </c>
      <c r="AU50" s="4">
        <v>22</v>
      </c>
      <c r="AV50" s="103"/>
      <c r="AW50" s="103"/>
      <c r="BI50" s="103"/>
      <c r="BJ50" s="103"/>
    </row>
    <row r="51" spans="1:62" x14ac:dyDescent="0.2">
      <c r="A51" s="103"/>
      <c r="B51" s="150"/>
      <c r="C51" s="27"/>
      <c r="D51" s="27" t="s">
        <v>64</v>
      </c>
      <c r="E51" s="27"/>
      <c r="F51" s="27"/>
      <c r="G51" s="27"/>
      <c r="H51" s="25" t="e">
        <f>100/((100-H50)/((100-G49)/((100/E49)-(G49/P36)))+((H50)/P36))</f>
        <v>#DIV/0!</v>
      </c>
      <c r="I51" s="25" t="e">
        <f>100/((100-I50)/((100-G49)/((100/E49)-(G49/P36)))+((I50/P36)))</f>
        <v>#DIV/0!</v>
      </c>
      <c r="J51" s="25" t="e">
        <f>100/((100-J50)/((100-G49)/((100/E49)-(G49/P36)))+((J50/P36)))</f>
        <v>#DIV/0!</v>
      </c>
      <c r="K51" s="25" t="e">
        <f>100/((100-K50)/((100-G49)/((100/E49)-(G49/P36)))+((K50/P36)))</f>
        <v>#DIV/0!</v>
      </c>
      <c r="L51" s="25"/>
      <c r="M51" s="27"/>
      <c r="N51" s="27"/>
      <c r="O51" s="27"/>
      <c r="P51" s="27"/>
      <c r="Q51" s="25" t="e">
        <f>100/((100-$Q$50)/((100-$G$49)/((100/$E$49)-($G$49/$P$36)))+($Q$50/$P$36))</f>
        <v>#DIV/0!</v>
      </c>
      <c r="R51" s="144" t="s">
        <v>149</v>
      </c>
      <c r="S51" s="3"/>
      <c r="T51" s="3"/>
      <c r="X51" s="82" t="s">
        <v>117</v>
      </c>
      <c r="Y51" s="3">
        <f>0.15^0.45</f>
        <v>0.42583471830473674</v>
      </c>
      <c r="AG51" s="90" t="s">
        <v>178</v>
      </c>
      <c r="AV51" s="103"/>
      <c r="AW51" s="103"/>
      <c r="BI51" s="103"/>
      <c r="BJ51" s="103"/>
    </row>
    <row r="52" spans="1:62" x14ac:dyDescent="0.2">
      <c r="A52" s="103"/>
      <c r="B52" s="142" t="s">
        <v>23</v>
      </c>
      <c r="C52" s="59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144"/>
      <c r="S52" s="3"/>
      <c r="T52" s="3"/>
      <c r="X52" s="82" t="s">
        <v>118</v>
      </c>
      <c r="Y52" s="3">
        <f>0.075^0.45</f>
        <v>0.31172925995349998</v>
      </c>
      <c r="AG52" s="90" t="s">
        <v>179</v>
      </c>
      <c r="AH52" s="4">
        <v>1</v>
      </c>
      <c r="AI52" s="4">
        <v>7</v>
      </c>
      <c r="AJ52" s="4">
        <v>2</v>
      </c>
      <c r="AK52" s="4">
        <v>8</v>
      </c>
      <c r="AL52" s="4">
        <v>2</v>
      </c>
      <c r="AM52" s="4">
        <v>10</v>
      </c>
      <c r="AN52" s="4">
        <v>8</v>
      </c>
      <c r="AO52" s="4">
        <v>11</v>
      </c>
      <c r="AP52" s="34">
        <v>8</v>
      </c>
      <c r="AQ52" s="4">
        <v>11</v>
      </c>
      <c r="AR52" s="4">
        <v>8</v>
      </c>
      <c r="AS52" s="4">
        <v>12</v>
      </c>
      <c r="AT52" s="41">
        <v>12</v>
      </c>
      <c r="AU52" s="4">
        <v>15</v>
      </c>
      <c r="AV52" s="4">
        <v>2</v>
      </c>
      <c r="AW52" s="4">
        <v>10</v>
      </c>
      <c r="BI52" s="103">
        <v>2</v>
      </c>
      <c r="BJ52" s="103">
        <v>12</v>
      </c>
    </row>
    <row r="53" spans="1:62" x14ac:dyDescent="0.2">
      <c r="A53" s="103"/>
      <c r="B53" s="150"/>
      <c r="C53" s="27"/>
      <c r="D53" s="27" t="s">
        <v>24</v>
      </c>
      <c r="E53" s="27"/>
      <c r="F53" s="27"/>
      <c r="G53" s="27"/>
      <c r="H53" s="18"/>
      <c r="I53" s="18"/>
      <c r="J53" s="18"/>
      <c r="K53" s="18"/>
      <c r="L53" s="18"/>
      <c r="M53" s="27"/>
      <c r="N53" s="27"/>
      <c r="O53" s="27"/>
      <c r="P53" s="27"/>
      <c r="Q53" s="25" t="e">
        <f>Q51-((Q56*Q51)/100)</f>
        <v>#DIV/0!</v>
      </c>
      <c r="R53" s="144" t="s">
        <v>150</v>
      </c>
      <c r="S53" s="3"/>
      <c r="T53" s="3"/>
      <c r="AV53" s="103"/>
      <c r="AW53" s="103"/>
      <c r="BI53" s="103"/>
      <c r="BJ53" s="103"/>
    </row>
    <row r="54" spans="1:62" x14ac:dyDescent="0.2">
      <c r="A54" s="103"/>
      <c r="B54" s="150"/>
      <c r="C54" s="27"/>
      <c r="D54" s="27" t="s">
        <v>25</v>
      </c>
      <c r="E54" s="27"/>
      <c r="F54" s="27"/>
      <c r="G54" s="27"/>
      <c r="H54" s="20"/>
      <c r="I54" s="20"/>
      <c r="J54" s="20"/>
      <c r="K54" s="20"/>
      <c r="L54" s="20"/>
      <c r="M54" s="27"/>
      <c r="N54" s="27"/>
      <c r="O54" s="27"/>
      <c r="P54" s="27"/>
      <c r="Q54" s="27"/>
      <c r="R54" s="144"/>
      <c r="S54" s="3"/>
      <c r="T54" s="3"/>
      <c r="AV54" s="103"/>
      <c r="AW54" s="103"/>
      <c r="BI54" s="103"/>
      <c r="BJ54" s="103"/>
    </row>
    <row r="55" spans="1:62" x14ac:dyDescent="0.2">
      <c r="A55" s="103"/>
      <c r="B55" s="142" t="s">
        <v>26</v>
      </c>
      <c r="C55" s="59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59" t="s">
        <v>31</v>
      </c>
      <c r="O55" s="103"/>
      <c r="P55" s="59"/>
      <c r="Q55" s="27"/>
      <c r="R55" s="144"/>
      <c r="S55" s="3"/>
      <c r="T55" s="3"/>
      <c r="AV55" s="103"/>
      <c r="AW55" s="103"/>
      <c r="BI55" s="103"/>
      <c r="BJ55" s="103"/>
    </row>
    <row r="56" spans="1:62" x14ac:dyDescent="0.2">
      <c r="A56" s="103"/>
      <c r="B56" s="150"/>
      <c r="C56" s="27"/>
      <c r="D56" s="27" t="s">
        <v>27</v>
      </c>
      <c r="E56" s="27"/>
      <c r="F56" s="27"/>
      <c r="G56" s="27"/>
      <c r="H56" s="26" t="e">
        <f>100*(H51-H53)/H51</f>
        <v>#DIV/0!</v>
      </c>
      <c r="I56" s="26" t="e">
        <f>100*(I51-I53)/I51</f>
        <v>#DIV/0!</v>
      </c>
      <c r="J56" s="26" t="e">
        <f>100*(J51-J53)/J51</f>
        <v>#DIV/0!</v>
      </c>
      <c r="K56" s="26" t="e">
        <f>100*(K51-K53)/K51</f>
        <v>#DIV/0!</v>
      </c>
      <c r="L56" s="26"/>
      <c r="M56" s="27" t="s">
        <v>57</v>
      </c>
      <c r="N56" s="152" t="str">
        <f>IF($J$6="SMA 3/4","3% to 4%",IF($J$6="SMA 1/2","3% to 4%",IF($J$6="SMA 3/8","3% to 4%",IF($J$6="SMA No. 4","3% to 4%",IF(AND($J$6="ST",Q3=5),"2% to 3%",IF(AND(Q3=5,$J$6="SX"),"3% to 4%",IF(AND(Q3=5,$J$6="SF"),"3% to 4%",IF(AND(Q3=5,$J$6="S"),"3% to 4%",IF(AND(Q3=5,$J$6="SG"),"3% to 4%",IF(AND(Q3=5,$J$6="SMA 3/4"),"3% to 4%",IF(AND(Q3=5,$J$6="SMA 1/2"),"3% to 4%",IF(AND(Q3=5,$J$6="SMA 3/8"),"3% to 4%",IF(AND(Q3=5,$J$6="SMA No. 4"),"3% to 4%",IF(AND(Q3=1,$J$6="SF"),"4% to 5%",IF(AND(Q3=2,$J$6="SF"),"4% to 5%",IF(AND(Q3=3,$J$6="SF"),"4% to 5%",IF(AND(Q3=4,$J$6="SF"),"4% to 5%",IF(AND(Q3=6,$J$6="SF"),"4% to 5%","3.5% to 4.5%"))))))))))))))))))</f>
        <v>3.5% to 4.5%</v>
      </c>
      <c r="O56" s="103"/>
      <c r="P56" s="120"/>
      <c r="Q56" s="43"/>
      <c r="R56" s="144" t="s">
        <v>151</v>
      </c>
      <c r="S56" s="3"/>
      <c r="T56" s="3"/>
      <c r="AV56" s="103"/>
      <c r="AW56" s="103"/>
      <c r="BI56" s="103"/>
      <c r="BJ56" s="103"/>
    </row>
    <row r="57" spans="1:62" x14ac:dyDescent="0.2">
      <c r="A57" s="103"/>
      <c r="B57" s="142" t="s">
        <v>28</v>
      </c>
      <c r="C57" s="59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153" t="s">
        <v>32</v>
      </c>
      <c r="O57" s="103"/>
      <c r="P57" s="153"/>
      <c r="Q57" s="27"/>
      <c r="R57" s="144"/>
      <c r="S57" s="3"/>
      <c r="T57" s="3"/>
      <c r="AV57" s="103"/>
      <c r="AW57" s="103"/>
      <c r="BI57" s="103"/>
      <c r="BJ57" s="103"/>
    </row>
    <row r="58" spans="1:62" x14ac:dyDescent="0.2">
      <c r="A58" s="103"/>
      <c r="B58" s="150"/>
      <c r="C58" s="27"/>
      <c r="D58" s="27" t="s">
        <v>29</v>
      </c>
      <c r="E58" s="27"/>
      <c r="F58" s="27"/>
      <c r="G58" s="27"/>
      <c r="H58" s="26" t="e">
        <f>100-((H53*(100-H50)))/$P$30</f>
        <v>#DIV/0!</v>
      </c>
      <c r="I58" s="26" t="e">
        <f t="shared" ref="I58:K58" si="5">100-((I53*(100-I50)))/$P$30</f>
        <v>#DIV/0!</v>
      </c>
      <c r="J58" s="26" t="e">
        <f t="shared" si="5"/>
        <v>#DIV/0!</v>
      </c>
      <c r="K58" s="26" t="e">
        <f t="shared" si="5"/>
        <v>#DIV/0!</v>
      </c>
      <c r="L58" s="26"/>
      <c r="M58" s="27" t="s">
        <v>57</v>
      </c>
      <c r="N58" s="42"/>
      <c r="O58" s="103"/>
      <c r="P58" s="120"/>
      <c r="Q58" s="52" t="e">
        <f>100-((Q53*(100-Q50))/P30)</f>
        <v>#DIV/0!</v>
      </c>
      <c r="R58" s="144" t="s">
        <v>152</v>
      </c>
      <c r="S58" s="3"/>
      <c r="T58" s="3"/>
      <c r="AV58" s="103"/>
      <c r="AW58" s="103"/>
      <c r="BI58" s="103"/>
      <c r="BJ58" s="103"/>
    </row>
    <row r="59" spans="1:62" x14ac:dyDescent="0.2">
      <c r="A59" s="103"/>
      <c r="B59" s="150"/>
      <c r="C59" s="27"/>
      <c r="D59" s="27" t="s">
        <v>30</v>
      </c>
      <c r="E59" s="27"/>
      <c r="F59" s="27"/>
      <c r="G59" s="27"/>
      <c r="H59" s="28" t="e">
        <f>(100*(H58-H56))/H58</f>
        <v>#DIV/0!</v>
      </c>
      <c r="I59" s="28" t="e">
        <f>(100*(I58-I56))/I58</f>
        <v>#DIV/0!</v>
      </c>
      <c r="J59" s="28" t="e">
        <f>(100*(J58-J56))/J58</f>
        <v>#DIV/0!</v>
      </c>
      <c r="K59" s="28" t="e">
        <f>(100*(K58-K56))/K58</f>
        <v>#DIV/0!</v>
      </c>
      <c r="L59" s="28"/>
      <c r="M59" s="27" t="s">
        <v>57</v>
      </c>
      <c r="N59" s="70" t="str">
        <f>IF(O6=75,"65-80%",IF(O6=50,"70-80%","65-75%"))</f>
        <v>65-75%</v>
      </c>
      <c r="O59" s="103"/>
      <c r="P59" s="70"/>
      <c r="Q59" s="53" t="e">
        <f>100*((Q58-Q56)/Q58)</f>
        <v>#DIV/0!</v>
      </c>
      <c r="R59" s="144" t="s">
        <v>153</v>
      </c>
      <c r="S59" s="3"/>
      <c r="T59" s="3"/>
      <c r="AV59" s="103"/>
      <c r="AW59" s="103"/>
      <c r="BI59" s="103"/>
      <c r="BJ59" s="103"/>
    </row>
    <row r="60" spans="1:62" x14ac:dyDescent="0.2">
      <c r="A60" s="103"/>
      <c r="B60" s="150"/>
      <c r="C60" s="27"/>
      <c r="D60" s="27" t="s">
        <v>76</v>
      </c>
      <c r="E60" s="27"/>
      <c r="F60" s="27"/>
      <c r="G60" s="27"/>
      <c r="H60" s="29" t="e">
        <f>(100-H50)/((100/H51)-(H50/$P$36))</f>
        <v>#DIV/0!</v>
      </c>
      <c r="I60" s="29" t="e">
        <f>(100-I50)/((100/I51)-(I50/$P$36))</f>
        <v>#DIV/0!</v>
      </c>
      <c r="J60" s="29" t="e">
        <f>(100-J50)/((100/J51)-(J50/$P$36))</f>
        <v>#DIV/0!</v>
      </c>
      <c r="K60" s="29" t="e">
        <f>(100-K50)/((100/K51)-(K50/$P$36))</f>
        <v>#DIV/0!</v>
      </c>
      <c r="L60" s="29"/>
      <c r="M60" s="27"/>
      <c r="N60" s="70"/>
      <c r="O60" s="103"/>
      <c r="P60" s="70"/>
      <c r="Q60" s="27"/>
      <c r="R60" s="144"/>
      <c r="S60" s="3"/>
      <c r="T60" s="3"/>
      <c r="AV60" s="103"/>
      <c r="AW60" s="103"/>
      <c r="BI60" s="103"/>
      <c r="BJ60" s="103"/>
    </row>
    <row r="61" spans="1:62" x14ac:dyDescent="0.2">
      <c r="A61" s="103"/>
      <c r="B61" s="150"/>
      <c r="C61" s="27"/>
      <c r="D61" s="27" t="s">
        <v>88</v>
      </c>
      <c r="E61" s="27"/>
      <c r="F61" s="27"/>
      <c r="G61" s="27"/>
      <c r="H61" s="30" t="e">
        <f>-((100-H50)*$P$36)*((H60-$P$30)/(H60*$P$30))+H50</f>
        <v>#DIV/0!</v>
      </c>
      <c r="I61" s="30" t="e">
        <f>-((100-I50)*$P$36)*((I60-$P$30)/(I60*$P$30))+I50</f>
        <v>#DIV/0!</v>
      </c>
      <c r="J61" s="30" t="e">
        <f>-((100-J50)*$P$36)*((J60-$P$30)/(J60*$P$30))+J50</f>
        <v>#DIV/0!</v>
      </c>
      <c r="K61" s="30" t="e">
        <f>-((100-$K$50)*$P$36)*(($K$60-$P$30)/($K$60*$P$30))+$K$50</f>
        <v>#DIV/0!</v>
      </c>
      <c r="L61" s="30"/>
      <c r="M61" s="27"/>
      <c r="N61" s="70"/>
      <c r="O61" s="103"/>
      <c r="P61" s="70"/>
      <c r="Q61" s="54" t="e">
        <f>-((100-$Q$50)*$P$36)*(($P$33-$P$30)/($P$33*$P$30))+$Q$50</f>
        <v>#DIV/0!</v>
      </c>
      <c r="R61" s="144" t="s">
        <v>156</v>
      </c>
      <c r="S61" s="3"/>
      <c r="T61" s="3"/>
      <c r="AV61" s="103"/>
      <c r="AW61" s="103"/>
      <c r="BI61" s="103"/>
      <c r="BJ61" s="103"/>
    </row>
    <row r="62" spans="1:62" x14ac:dyDescent="0.2">
      <c r="A62" s="103"/>
      <c r="B62" s="150"/>
      <c r="C62" s="27"/>
      <c r="D62" s="27" t="s">
        <v>58</v>
      </c>
      <c r="E62" s="27"/>
      <c r="F62" s="27"/>
      <c r="G62" s="27"/>
      <c r="H62" s="30" t="e">
        <f>($P$28-1)/H61</f>
        <v>#DIV/0!</v>
      </c>
      <c r="I62" s="30" t="e">
        <f>($P$28-1)/I61</f>
        <v>#DIV/0!</v>
      </c>
      <c r="J62" s="30" t="e">
        <f>($P$28-1)/J61</f>
        <v>#DIV/0!</v>
      </c>
      <c r="K62" s="30" t="e">
        <f>($P$28-1)/K61</f>
        <v>#DIV/0!</v>
      </c>
      <c r="L62" s="30"/>
      <c r="M62" s="27"/>
      <c r="N62" s="174"/>
      <c r="O62" s="35"/>
      <c r="P62" s="70"/>
      <c r="Q62" s="30" t="e">
        <f>($P$28-1)/Q61</f>
        <v>#DIV/0!</v>
      </c>
      <c r="R62" s="144" t="s">
        <v>154</v>
      </c>
      <c r="S62" s="3"/>
      <c r="T62" s="3"/>
      <c r="AV62" s="103"/>
      <c r="AW62" s="103"/>
      <c r="BI62" s="103"/>
      <c r="BJ62" s="103"/>
    </row>
    <row r="63" spans="1:62" x14ac:dyDescent="0.2">
      <c r="A63" s="103"/>
      <c r="B63" s="150"/>
      <c r="C63" s="27"/>
      <c r="D63" s="27" t="s">
        <v>207</v>
      </c>
      <c r="E63" s="27"/>
      <c r="F63" s="27"/>
      <c r="G63" s="27"/>
      <c r="H63" s="5"/>
      <c r="I63" s="5"/>
      <c r="J63" s="5"/>
      <c r="K63" s="5"/>
      <c r="L63" s="5"/>
      <c r="M63" s="27"/>
      <c r="N63" s="70" t="e">
        <f>IF(O6=75,"28",IF(O6=100,"30",IF(O6=125,"30",NA())))</f>
        <v>#N/A</v>
      </c>
      <c r="O63" s="111"/>
      <c r="P63" s="70"/>
      <c r="Q63" s="43"/>
      <c r="R63" s="144" t="s">
        <v>155</v>
      </c>
      <c r="S63" s="3"/>
      <c r="T63" s="3"/>
      <c r="AV63" s="103"/>
      <c r="AW63" s="103"/>
      <c r="BI63" s="103"/>
      <c r="BJ63" s="103"/>
    </row>
    <row r="64" spans="1:62" x14ac:dyDescent="0.2">
      <c r="A64" s="103"/>
      <c r="B64" s="150"/>
      <c r="C64" s="27"/>
      <c r="D64" s="27"/>
      <c r="E64" s="27"/>
      <c r="F64" s="27"/>
      <c r="G64" s="27"/>
      <c r="H64" s="55"/>
      <c r="I64" s="55"/>
      <c r="J64" s="55"/>
      <c r="K64" s="55"/>
      <c r="L64" s="55"/>
      <c r="M64" s="55"/>
      <c r="N64" s="70"/>
      <c r="O64" s="122"/>
      <c r="P64" s="70"/>
      <c r="Q64" s="55"/>
      <c r="R64" s="144"/>
      <c r="S64" s="3"/>
      <c r="T64" s="3"/>
      <c r="AV64" s="103"/>
      <c r="AW64" s="103"/>
      <c r="BI64" s="103"/>
      <c r="BJ64" s="103"/>
    </row>
    <row r="65" spans="1:62" ht="23.25" thickBot="1" x14ac:dyDescent="0.25">
      <c r="A65" s="103"/>
      <c r="B65" s="148"/>
      <c r="C65" s="47"/>
      <c r="D65" s="47" t="s">
        <v>208</v>
      </c>
      <c r="E65" s="47"/>
      <c r="F65" s="47"/>
      <c r="G65" s="47"/>
      <c r="H65" s="58" t="e">
        <f>(($M$13*$M$16)+($N$13*$N$16)+($O$13*$O$16))/H61</f>
        <v>#DIV/0!</v>
      </c>
      <c r="I65" s="58" t="e">
        <f>(($M$13*$M$16)+($N$13*$N$16)+($O$13*$O$16))/I61</f>
        <v>#DIV/0!</v>
      </c>
      <c r="J65" s="58" t="e">
        <f>(($M$13*$M$16)+($N$13*$N$16)+($O$13*$O$16))/J61</f>
        <v>#DIV/0!</v>
      </c>
      <c r="K65" s="58" t="e">
        <f>(($M$13*$M$16)+($N$13*$N$16)+($O$13*$O$16))/K61</f>
        <v>#DIV/0!</v>
      </c>
      <c r="L65" s="78" t="e">
        <f>(($M$13*$M$16)+($N$13*$N$16)+($O$13*$O$16))/L61</f>
        <v>#DIV/0!</v>
      </c>
      <c r="M65" s="78"/>
      <c r="N65" s="166" t="s">
        <v>235</v>
      </c>
      <c r="O65" s="115"/>
      <c r="P65" s="140"/>
      <c r="Q65" s="58" t="e">
        <f>(($M$13*$M$16)+($N$13*$N$16)+($O$13*$O$16))/Q61</f>
        <v>#DIV/0!</v>
      </c>
      <c r="R65" s="165" t="s">
        <v>235</v>
      </c>
      <c r="S65" s="3"/>
      <c r="T65" s="3"/>
      <c r="AV65" s="103"/>
      <c r="AW65" s="103"/>
      <c r="BI65" s="103"/>
      <c r="BJ65" s="103"/>
    </row>
    <row r="66" spans="1:62" hidden="1" x14ac:dyDescent="0.2">
      <c r="A66" s="103"/>
      <c r="B66" s="142" t="s">
        <v>33</v>
      </c>
      <c r="C66" s="59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144"/>
      <c r="S66" s="3"/>
      <c r="T66" s="3"/>
      <c r="AV66" s="103"/>
      <c r="AW66" s="103"/>
      <c r="BI66" s="103"/>
      <c r="BJ66" s="103"/>
    </row>
    <row r="67" spans="1:62" hidden="1" x14ac:dyDescent="0.2">
      <c r="A67" s="103"/>
      <c r="B67" s="150"/>
      <c r="C67" s="27"/>
      <c r="D67" s="27" t="s">
        <v>34</v>
      </c>
      <c r="E67" s="27"/>
      <c r="F67" s="27"/>
      <c r="G67" s="27"/>
      <c r="H67" s="154">
        <v>5.2</v>
      </c>
      <c r="I67" s="27"/>
      <c r="J67" s="27" t="s">
        <v>36</v>
      </c>
      <c r="K67" s="27"/>
      <c r="L67" s="27"/>
      <c r="M67" s="155">
        <v>4</v>
      </c>
      <c r="N67" s="27"/>
      <c r="O67" s="103"/>
      <c r="P67" s="86"/>
      <c r="Q67" s="103"/>
      <c r="R67" s="144"/>
      <c r="S67" s="3"/>
      <c r="T67" s="3"/>
      <c r="AV67" s="103"/>
      <c r="AW67" s="103"/>
      <c r="BI67" s="103"/>
      <c r="BJ67" s="103"/>
    </row>
    <row r="68" spans="1:62" hidden="1" x14ac:dyDescent="0.2">
      <c r="A68" s="103"/>
      <c r="B68" s="150"/>
      <c r="C68" s="27"/>
      <c r="D68" s="27" t="s">
        <v>35</v>
      </c>
      <c r="E68" s="27"/>
      <c r="F68" s="27"/>
      <c r="G68" s="27"/>
      <c r="H68" s="25" t="e">
        <f>100/((100-$H$67)/((100-$G$49)/((100/$E$49)-($G$49/$P$36)))+($H$67/$P$36))</f>
        <v>#DIV/0!</v>
      </c>
      <c r="I68" s="27"/>
      <c r="J68" s="27" t="s">
        <v>37</v>
      </c>
      <c r="K68" s="27"/>
      <c r="L68" s="27"/>
      <c r="M68" s="151">
        <v>15</v>
      </c>
      <c r="N68" s="27"/>
      <c r="O68" s="103"/>
      <c r="P68" s="26"/>
      <c r="Q68" s="111"/>
      <c r="R68" s="144"/>
      <c r="S68" s="3"/>
      <c r="T68" s="3"/>
      <c r="AV68" s="103"/>
      <c r="AW68" s="103"/>
      <c r="BI68" s="103"/>
      <c r="BJ68" s="103"/>
    </row>
    <row r="69" spans="1:62" ht="13.5" hidden="1" thickBot="1" x14ac:dyDescent="0.25">
      <c r="A69" s="103"/>
      <c r="B69" s="148"/>
      <c r="C69" s="47"/>
      <c r="D69" s="47" t="s">
        <v>90</v>
      </c>
      <c r="E69" s="47"/>
      <c r="F69" s="47"/>
      <c r="G69" s="47"/>
      <c r="H69" s="33"/>
      <c r="I69" s="47"/>
      <c r="J69" s="47"/>
      <c r="K69" s="47"/>
      <c r="L69" s="47"/>
      <c r="M69" s="47"/>
      <c r="N69" s="47"/>
      <c r="O69" s="58"/>
      <c r="P69" s="58"/>
      <c r="Q69" s="114"/>
      <c r="R69" s="149"/>
      <c r="S69" s="3"/>
      <c r="T69" s="3"/>
      <c r="AV69" s="103"/>
      <c r="AW69" s="103"/>
      <c r="BI69" s="103"/>
      <c r="BJ69" s="103"/>
    </row>
    <row r="70" spans="1:62" x14ac:dyDescent="0.2">
      <c r="A70" s="103"/>
      <c r="B70" s="142" t="s">
        <v>38</v>
      </c>
      <c r="C70" s="59"/>
      <c r="D70" s="27"/>
      <c r="E70" s="27"/>
      <c r="F70" s="27"/>
      <c r="G70" s="27"/>
      <c r="H70" s="27"/>
      <c r="I70" s="27"/>
      <c r="J70" s="27"/>
      <c r="K70" s="27"/>
      <c r="L70" s="27"/>
      <c r="M70" s="59" t="s">
        <v>43</v>
      </c>
      <c r="N70" s="59"/>
      <c r="O70" s="27"/>
      <c r="P70" s="27"/>
      <c r="Q70" s="27"/>
      <c r="R70" s="144"/>
      <c r="S70" s="3"/>
      <c r="T70" s="3"/>
      <c r="AV70" s="103"/>
      <c r="AW70" s="103"/>
      <c r="BI70" s="103"/>
      <c r="BJ70" s="103"/>
    </row>
    <row r="71" spans="1:62" x14ac:dyDescent="0.2">
      <c r="A71" s="103"/>
      <c r="B71" s="150"/>
      <c r="C71" s="27"/>
      <c r="D71" s="27" t="s">
        <v>50</v>
      </c>
      <c r="E71" s="27"/>
      <c r="F71" s="27"/>
      <c r="G71" s="27"/>
      <c r="H71" s="30">
        <f>+Q50</f>
        <v>0</v>
      </c>
      <c r="I71" s="27"/>
      <c r="J71" s="27"/>
      <c r="K71" s="27"/>
      <c r="L71" s="27"/>
      <c r="M71" s="27"/>
      <c r="N71" s="27"/>
      <c r="O71" s="27"/>
      <c r="P71" s="27"/>
      <c r="Q71" s="27"/>
      <c r="R71" s="144"/>
      <c r="S71" s="3"/>
      <c r="T71" s="3"/>
      <c r="AV71" s="103"/>
      <c r="AW71" s="103"/>
      <c r="BI71" s="103"/>
      <c r="BJ71" s="103"/>
    </row>
    <row r="72" spans="1:62" x14ac:dyDescent="0.2">
      <c r="A72" s="103"/>
      <c r="B72" s="150"/>
      <c r="C72" s="27"/>
      <c r="D72" s="27" t="s">
        <v>89</v>
      </c>
      <c r="E72" s="27"/>
      <c r="F72" s="27"/>
      <c r="G72" s="27"/>
      <c r="H72" s="28" t="e">
        <f>+(H74/H73)*100</f>
        <v>#DIV/0!</v>
      </c>
      <c r="I72" s="27" t="s">
        <v>57</v>
      </c>
      <c r="J72" s="27"/>
      <c r="K72" s="27"/>
      <c r="L72" s="27"/>
      <c r="M72" s="55" t="str">
        <f>IF(J6="SMA 3/4","&gt;70%",IF($J$6="SMA 1/2","&gt;70%",IF($J$6="SMA 3/8","&gt;70%",IF($J$6="SMA No. 4","&gt;70%","&gt;80%"))))</f>
        <v>&gt;80%</v>
      </c>
      <c r="N72" s="55"/>
      <c r="O72" s="27"/>
      <c r="P72" s="27"/>
      <c r="Q72" s="27"/>
      <c r="R72" s="144"/>
      <c r="S72" s="3"/>
      <c r="T72" s="3"/>
      <c r="AV72" s="103"/>
      <c r="AW72" s="103"/>
      <c r="BI72" s="103"/>
      <c r="BJ72" s="103"/>
    </row>
    <row r="73" spans="1:62" x14ac:dyDescent="0.2">
      <c r="A73" s="103"/>
      <c r="B73" s="150"/>
      <c r="C73" s="27"/>
      <c r="D73" s="27" t="s">
        <v>39</v>
      </c>
      <c r="E73" s="27"/>
      <c r="F73" s="27"/>
      <c r="G73" s="27"/>
      <c r="H73" s="5"/>
      <c r="I73" s="27"/>
      <c r="J73" s="27" t="s">
        <v>55</v>
      </c>
      <c r="K73" s="27"/>
      <c r="L73" s="27"/>
      <c r="M73" s="55" t="s">
        <v>44</v>
      </c>
      <c r="N73" s="55"/>
      <c r="O73" s="27"/>
      <c r="P73" s="27"/>
      <c r="Q73" s="27"/>
      <c r="R73" s="144"/>
      <c r="S73" s="3"/>
      <c r="T73" s="3"/>
      <c r="AV73" s="103"/>
      <c r="AW73" s="103"/>
      <c r="BI73" s="103"/>
      <c r="BJ73" s="103"/>
    </row>
    <row r="74" spans="1:62" x14ac:dyDescent="0.2">
      <c r="A74" s="103"/>
      <c r="B74" s="150"/>
      <c r="C74" s="27"/>
      <c r="D74" s="27" t="s">
        <v>40</v>
      </c>
      <c r="E74" s="27"/>
      <c r="F74" s="27"/>
      <c r="G74" s="27"/>
      <c r="H74" s="5"/>
      <c r="I74" s="27"/>
      <c r="J74" s="27" t="s">
        <v>56</v>
      </c>
      <c r="K74" s="27"/>
      <c r="L74" s="27"/>
      <c r="M74" s="55"/>
      <c r="N74" s="55"/>
      <c r="O74" s="27"/>
      <c r="P74" s="27"/>
      <c r="Q74" s="27"/>
      <c r="R74" s="144"/>
      <c r="S74" s="3"/>
      <c r="T74" s="3"/>
      <c r="AV74" s="103"/>
      <c r="AW74" s="103"/>
      <c r="BI74" s="103"/>
      <c r="BJ74" s="103"/>
    </row>
    <row r="75" spans="1:62" x14ac:dyDescent="0.2">
      <c r="A75" s="103"/>
      <c r="B75" s="150"/>
      <c r="C75" s="27"/>
      <c r="D75" s="27" t="s">
        <v>41</v>
      </c>
      <c r="E75" s="27"/>
      <c r="F75" s="27"/>
      <c r="G75" s="27"/>
      <c r="H75" s="5"/>
      <c r="I75" s="27"/>
      <c r="J75" s="27"/>
      <c r="K75" s="27"/>
      <c r="L75" s="27"/>
      <c r="M75" s="55" t="s">
        <v>144</v>
      </c>
      <c r="N75" s="55"/>
      <c r="O75" s="27"/>
      <c r="P75" s="27"/>
      <c r="Q75" s="27"/>
      <c r="R75" s="144"/>
      <c r="S75" s="3"/>
      <c r="T75" s="3"/>
      <c r="AV75" s="103"/>
      <c r="AW75" s="103"/>
      <c r="BI75" s="103"/>
      <c r="BJ75" s="103"/>
    </row>
    <row r="76" spans="1:62" ht="13.5" thickBot="1" x14ac:dyDescent="0.25">
      <c r="A76" s="103"/>
      <c r="B76" s="148"/>
      <c r="C76" s="47"/>
      <c r="D76" s="47" t="s">
        <v>42</v>
      </c>
      <c r="E76" s="47"/>
      <c r="F76" s="47"/>
      <c r="G76" s="47"/>
      <c r="H76" s="7"/>
      <c r="I76" s="47"/>
      <c r="J76" s="47"/>
      <c r="K76" s="47"/>
      <c r="L76" s="47"/>
      <c r="M76" s="47"/>
      <c r="N76" s="47"/>
      <c r="O76" s="47"/>
      <c r="P76" s="47"/>
      <c r="Q76" s="47"/>
      <c r="R76" s="149"/>
      <c r="S76" s="3"/>
      <c r="T76" s="3"/>
      <c r="AV76" s="103"/>
      <c r="AW76" s="103"/>
      <c r="BI76" s="103"/>
      <c r="BJ76" s="103"/>
    </row>
    <row r="77" spans="1:62" x14ac:dyDescent="0.2">
      <c r="A77" s="103"/>
      <c r="B77" s="142" t="s">
        <v>204</v>
      </c>
      <c r="C77" s="59"/>
      <c r="D77" s="27"/>
      <c r="E77" s="27"/>
      <c r="F77" s="27"/>
      <c r="G77" s="27"/>
      <c r="H77" s="55"/>
      <c r="I77" s="27"/>
      <c r="J77" s="27"/>
      <c r="K77" s="27"/>
      <c r="L77" s="27"/>
      <c r="M77" s="27"/>
      <c r="N77" s="27"/>
      <c r="O77" s="27"/>
      <c r="P77" s="27"/>
      <c r="Q77" s="27"/>
      <c r="R77" s="144"/>
      <c r="S77" s="3"/>
      <c r="T77" s="3"/>
      <c r="AV77" s="103"/>
      <c r="AW77" s="103"/>
      <c r="BI77" s="103"/>
      <c r="BJ77" s="103"/>
    </row>
    <row r="78" spans="1:62" x14ac:dyDescent="0.2">
      <c r="A78" s="103"/>
      <c r="B78" s="150"/>
      <c r="C78" s="27"/>
      <c r="D78" s="27" t="s">
        <v>135</v>
      </c>
      <c r="E78" s="27"/>
      <c r="F78" s="27"/>
      <c r="G78" s="27"/>
      <c r="H78" s="56" t="e">
        <f>((1-(Q56/100))*Q51)</f>
        <v>#DIV/0!</v>
      </c>
      <c r="I78" s="27"/>
      <c r="J78" s="27"/>
      <c r="K78" s="27"/>
      <c r="L78" s="27"/>
      <c r="M78" s="27"/>
      <c r="N78" s="27"/>
      <c r="O78" s="156" t="s">
        <v>143</v>
      </c>
      <c r="P78" s="73"/>
      <c r="Q78" s="27"/>
      <c r="R78" s="144"/>
      <c r="S78" s="3"/>
      <c r="T78" s="3"/>
      <c r="V78" s="50"/>
      <c r="AV78" s="103"/>
      <c r="AW78" s="103"/>
      <c r="BI78" s="103"/>
      <c r="BJ78" s="103"/>
    </row>
    <row r="79" spans="1:62" x14ac:dyDescent="0.2">
      <c r="A79" s="103"/>
      <c r="B79" s="150"/>
      <c r="C79" s="27"/>
      <c r="D79" s="27" t="s">
        <v>181</v>
      </c>
      <c r="E79" s="27"/>
      <c r="F79" s="27"/>
      <c r="G79" s="27"/>
      <c r="H79" s="56">
        <f>P35</f>
        <v>0</v>
      </c>
      <c r="I79" s="27"/>
      <c r="J79" s="27"/>
      <c r="K79" s="27"/>
      <c r="L79" s="27"/>
      <c r="M79" s="27"/>
      <c r="N79" s="27"/>
      <c r="O79" s="157" t="s">
        <v>136</v>
      </c>
      <c r="P79" s="85" t="e">
        <f>100-VLOOKUP(P78,C17:P28,14,FALSE)</f>
        <v>#N/A</v>
      </c>
      <c r="Q79" s="27"/>
      <c r="R79" s="144"/>
      <c r="S79" s="3"/>
      <c r="T79" s="3"/>
      <c r="AV79" s="103"/>
      <c r="AW79" s="103"/>
      <c r="BI79" s="103"/>
      <c r="BJ79" s="103"/>
    </row>
    <row r="80" spans="1:62" x14ac:dyDescent="0.2">
      <c r="A80" s="103"/>
      <c r="B80" s="150"/>
      <c r="C80" s="27"/>
      <c r="D80" s="27" t="s">
        <v>182</v>
      </c>
      <c r="E80" s="27"/>
      <c r="F80" s="27"/>
      <c r="G80" s="27"/>
      <c r="H80" s="26" t="e">
        <f>((100-$Q$50)/100)*(P79/100)*100</f>
        <v>#N/A</v>
      </c>
      <c r="I80" s="27"/>
      <c r="J80" s="27"/>
      <c r="K80" s="27"/>
      <c r="L80" s="27"/>
      <c r="M80" s="27"/>
      <c r="N80" s="27"/>
      <c r="O80" s="27"/>
      <c r="P80" s="27"/>
      <c r="Q80" s="27"/>
      <c r="R80" s="144"/>
      <c r="S80" s="3"/>
      <c r="T80" s="3"/>
      <c r="AV80" s="103"/>
      <c r="AW80" s="103"/>
      <c r="BI80" s="103"/>
      <c r="BJ80" s="103"/>
    </row>
    <row r="81" spans="1:62" x14ac:dyDescent="0.2">
      <c r="A81" s="103"/>
      <c r="B81" s="150"/>
      <c r="C81" s="27"/>
      <c r="D81" s="27" t="s">
        <v>183</v>
      </c>
      <c r="E81" s="27"/>
      <c r="F81" s="27"/>
      <c r="G81" s="27"/>
      <c r="H81" s="26" t="e">
        <f>(100-((H78/H79)*H80))</f>
        <v>#DIV/0!</v>
      </c>
      <c r="I81" s="27"/>
      <c r="J81" s="27"/>
      <c r="K81" s="103"/>
      <c r="L81" s="27"/>
      <c r="M81" s="27"/>
      <c r="N81" s="27"/>
      <c r="O81" s="27"/>
      <c r="P81" s="27"/>
      <c r="Q81" s="27"/>
      <c r="R81" s="144"/>
      <c r="S81" s="3"/>
      <c r="T81" s="3"/>
      <c r="AV81" s="103"/>
      <c r="AW81" s="103"/>
      <c r="BI81" s="103"/>
      <c r="BJ81" s="103"/>
    </row>
    <row r="82" spans="1:62" x14ac:dyDescent="0.2">
      <c r="A82" s="103"/>
      <c r="B82" s="150"/>
      <c r="C82" s="27"/>
      <c r="D82" s="27" t="s">
        <v>184</v>
      </c>
      <c r="E82" s="27"/>
      <c r="F82" s="27"/>
      <c r="G82" s="27"/>
      <c r="H82" s="83"/>
      <c r="I82" s="27"/>
      <c r="J82" s="27"/>
      <c r="K82" s="27" t="s">
        <v>137</v>
      </c>
      <c r="L82" s="27"/>
      <c r="M82" s="27"/>
      <c r="N82" s="27"/>
      <c r="O82" s="27"/>
      <c r="P82" s="27"/>
      <c r="Q82" s="27"/>
      <c r="R82" s="144"/>
      <c r="S82" s="3"/>
      <c r="T82" s="3"/>
      <c r="AV82" s="103"/>
      <c r="AW82" s="103"/>
      <c r="BI82" s="103"/>
      <c r="BJ82" s="103"/>
    </row>
    <row r="83" spans="1:62" x14ac:dyDescent="0.2">
      <c r="A83" s="103"/>
      <c r="B83" s="150"/>
      <c r="C83" s="27"/>
      <c r="D83" s="27" t="s">
        <v>166</v>
      </c>
      <c r="E83" s="27"/>
      <c r="F83" s="27"/>
      <c r="G83" s="27"/>
      <c r="H83" s="26" t="e">
        <f>(H79*62.24-H82)/(H79*62.24)*100</f>
        <v>#DIV/0!</v>
      </c>
      <c r="I83" s="27"/>
      <c r="J83" s="27"/>
      <c r="K83" s="27" t="s">
        <v>138</v>
      </c>
      <c r="L83" s="27"/>
      <c r="M83" s="27"/>
      <c r="N83" s="27"/>
      <c r="O83" s="27" t="e">
        <f>IF(H81&lt;H83,"YES","NO")</f>
        <v>#DIV/0!</v>
      </c>
      <c r="P83" s="27" t="s">
        <v>142</v>
      </c>
      <c r="Q83" s="27"/>
      <c r="R83" s="144"/>
      <c r="S83" s="3"/>
      <c r="T83" s="3"/>
      <c r="AV83" s="103"/>
      <c r="AW83" s="103"/>
      <c r="BI83" s="103"/>
      <c r="BJ83" s="103"/>
    </row>
    <row r="84" spans="1:62" x14ac:dyDescent="0.2">
      <c r="A84" s="103"/>
      <c r="B84" s="150"/>
      <c r="C84" s="27"/>
      <c r="D84" s="27" t="s">
        <v>240</v>
      </c>
      <c r="E84" s="27"/>
      <c r="F84" s="27"/>
      <c r="G84" s="27"/>
      <c r="H84" s="83"/>
      <c r="I84" s="157" t="s">
        <v>241</v>
      </c>
      <c r="J84" s="27"/>
      <c r="K84" s="27"/>
      <c r="L84" s="27"/>
      <c r="M84" s="27"/>
      <c r="N84" s="27"/>
      <c r="O84" s="27"/>
      <c r="P84" s="27"/>
      <c r="Q84" s="27"/>
      <c r="R84" s="144"/>
      <c r="S84" s="3"/>
      <c r="T84" s="3"/>
      <c r="AV84" s="103"/>
      <c r="AW84" s="103"/>
      <c r="BI84" s="103"/>
      <c r="BJ84" s="103"/>
    </row>
    <row r="85" spans="1:62" x14ac:dyDescent="0.2">
      <c r="A85" s="103"/>
      <c r="B85" s="150"/>
      <c r="C85" s="27"/>
      <c r="D85" s="27" t="s">
        <v>196</v>
      </c>
      <c r="E85" s="27"/>
      <c r="F85" s="27"/>
      <c r="G85" s="27"/>
      <c r="H85" s="161"/>
      <c r="I85" s="86" t="s">
        <v>197</v>
      </c>
      <c r="J85" s="27"/>
      <c r="K85" s="27"/>
      <c r="L85" s="27"/>
      <c r="M85" s="27"/>
      <c r="N85" s="27"/>
      <c r="O85" s="27"/>
      <c r="P85" s="27"/>
      <c r="Q85" s="27"/>
      <c r="R85" s="144"/>
      <c r="S85" s="3"/>
      <c r="T85" s="3"/>
      <c r="AV85" s="103"/>
      <c r="AW85" s="103"/>
      <c r="BI85" s="103"/>
      <c r="BJ85" s="103"/>
    </row>
    <row r="86" spans="1:62" x14ac:dyDescent="0.2">
      <c r="A86" s="103"/>
      <c r="B86" s="150"/>
      <c r="C86" s="27"/>
      <c r="D86" s="27" t="s">
        <v>200</v>
      </c>
      <c r="E86" s="27"/>
      <c r="F86" s="27"/>
      <c r="G86" s="27"/>
      <c r="H86" s="35"/>
      <c r="I86" s="86" t="s">
        <v>201</v>
      </c>
      <c r="J86" s="27"/>
      <c r="K86" s="27"/>
      <c r="L86" s="27"/>
      <c r="M86" s="27"/>
      <c r="N86" s="27"/>
      <c r="O86" s="27"/>
      <c r="P86" s="27"/>
      <c r="Q86" s="27"/>
      <c r="R86" s="144"/>
      <c r="S86" s="3"/>
      <c r="T86" s="3"/>
      <c r="AV86" s="103"/>
      <c r="AW86" s="103"/>
      <c r="BI86" s="103"/>
      <c r="BJ86" s="103"/>
    </row>
    <row r="87" spans="1:62" ht="13.5" thickBot="1" x14ac:dyDescent="0.25">
      <c r="A87" s="103"/>
      <c r="B87" s="148"/>
      <c r="C87" s="47"/>
      <c r="D87" s="47" t="s">
        <v>202</v>
      </c>
      <c r="E87" s="47"/>
      <c r="F87" s="47"/>
      <c r="G87" s="47"/>
      <c r="H87" s="69"/>
      <c r="I87" s="87" t="s">
        <v>203</v>
      </c>
      <c r="J87" s="47"/>
      <c r="K87" s="47"/>
      <c r="L87" s="47"/>
      <c r="M87" s="47"/>
      <c r="N87" s="47"/>
      <c r="O87" s="147"/>
      <c r="P87" s="47"/>
      <c r="Q87" s="47"/>
      <c r="R87" s="149"/>
      <c r="S87" s="3"/>
      <c r="T87" s="3"/>
      <c r="AV87" s="103"/>
      <c r="AW87" s="103"/>
      <c r="BI87" s="103"/>
      <c r="BJ87" s="103"/>
    </row>
    <row r="88" spans="1:62" x14ac:dyDescent="0.2">
      <c r="A88" s="103"/>
      <c r="B88" s="21"/>
      <c r="C88" s="22"/>
      <c r="D88" s="22"/>
      <c r="E88" s="22"/>
      <c r="F88" s="59"/>
      <c r="G88" s="59" t="s">
        <v>49</v>
      </c>
      <c r="H88" s="59"/>
      <c r="I88" s="59" t="s">
        <v>47</v>
      </c>
      <c r="J88" s="59"/>
      <c r="K88" s="59"/>
      <c r="L88" s="59"/>
      <c r="M88" s="103"/>
      <c r="N88" s="103"/>
      <c r="O88" s="59" t="s">
        <v>46</v>
      </c>
      <c r="P88" s="59"/>
      <c r="Q88" s="23"/>
      <c r="R88" s="144"/>
      <c r="S88" s="3"/>
      <c r="T88" s="3"/>
      <c r="AV88" s="103"/>
      <c r="AW88" s="103"/>
      <c r="BI88" s="103"/>
      <c r="BJ88" s="103"/>
    </row>
    <row r="89" spans="1:62" ht="13.5" thickBot="1" x14ac:dyDescent="0.25">
      <c r="A89" s="103"/>
      <c r="B89" s="167" t="s">
        <v>45</v>
      </c>
      <c r="C89" s="168"/>
      <c r="D89" s="168"/>
      <c r="E89" s="168"/>
      <c r="F89" s="147"/>
      <c r="G89" s="147"/>
      <c r="H89" s="147"/>
      <c r="I89" s="147" t="s">
        <v>48</v>
      </c>
      <c r="J89" s="147"/>
      <c r="K89" s="47" t="s">
        <v>161</v>
      </c>
      <c r="L89" s="147"/>
      <c r="M89" s="114"/>
      <c r="N89" s="114"/>
      <c r="O89" s="147" t="str">
        <f>O43</f>
        <v>CDOT Form #429    05/18</v>
      </c>
      <c r="P89" s="147"/>
      <c r="Q89" s="47"/>
      <c r="R89" s="149"/>
      <c r="S89" s="3"/>
      <c r="T89" s="3"/>
      <c r="AV89" s="103"/>
      <c r="AW89" s="103"/>
      <c r="BI89" s="103"/>
      <c r="BJ89" s="103"/>
    </row>
    <row r="90" spans="1:62" x14ac:dyDescent="0.2">
      <c r="A90" s="103"/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BI90" s="103"/>
      <c r="BJ90" s="103"/>
    </row>
    <row r="91" spans="1:62" x14ac:dyDescent="0.2">
      <c r="A91" s="103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BI91" s="103"/>
      <c r="BJ91" s="103"/>
    </row>
    <row r="92" spans="1:62" x14ac:dyDescent="0.2">
      <c r="A92" s="103"/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BI92" s="103"/>
      <c r="BJ92" s="103"/>
    </row>
    <row r="93" spans="1:62" x14ac:dyDescent="0.2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BI93" s="103"/>
      <c r="BJ93" s="103"/>
    </row>
    <row r="94" spans="1:62" x14ac:dyDescent="0.2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BI94" s="103"/>
      <c r="BJ94" s="103"/>
    </row>
    <row r="95" spans="1:62" x14ac:dyDescent="0.2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BI95" s="103"/>
      <c r="BJ95" s="103"/>
    </row>
    <row r="96" spans="1:62" x14ac:dyDescent="0.2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BI96" s="103"/>
      <c r="BJ96" s="103"/>
    </row>
    <row r="97" spans="1:62" x14ac:dyDescent="0.2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BI97" s="103"/>
      <c r="BJ97" s="103"/>
    </row>
    <row r="98" spans="1:62" x14ac:dyDescent="0.2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BI98" s="103"/>
      <c r="BJ98" s="103"/>
    </row>
    <row r="99" spans="1:62" x14ac:dyDescent="0.2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BI99" s="103"/>
      <c r="BJ99" s="103"/>
    </row>
    <row r="100" spans="1:62" x14ac:dyDescent="0.2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BI100" s="103"/>
      <c r="BJ100" s="103"/>
    </row>
    <row r="101" spans="1:62" x14ac:dyDescent="0.2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BI101" s="103"/>
      <c r="BJ101" s="103"/>
    </row>
    <row r="102" spans="1:62" x14ac:dyDescent="0.2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BI102" s="103"/>
      <c r="BJ102" s="103"/>
    </row>
    <row r="103" spans="1:62" x14ac:dyDescent="0.2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BI103" s="103"/>
      <c r="BJ103" s="103"/>
    </row>
    <row r="104" spans="1:62" x14ac:dyDescent="0.2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BI104" s="103"/>
      <c r="BJ104" s="103"/>
    </row>
    <row r="105" spans="1:62" x14ac:dyDescent="0.2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BI105" s="103"/>
      <c r="BJ105" s="103"/>
    </row>
    <row r="106" spans="1:62" x14ac:dyDescent="0.2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BI106" s="103"/>
      <c r="BJ106" s="103"/>
    </row>
    <row r="107" spans="1:62" x14ac:dyDescent="0.2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BI107" s="103"/>
      <c r="BJ107" s="103"/>
    </row>
    <row r="108" spans="1:62" x14ac:dyDescent="0.2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BI108" s="103"/>
      <c r="BJ108" s="103"/>
    </row>
    <row r="109" spans="1:62" x14ac:dyDescent="0.2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BI109" s="103"/>
      <c r="BJ109" s="103"/>
    </row>
    <row r="110" spans="1:62" x14ac:dyDescent="0.2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BI110" s="103"/>
      <c r="BJ110" s="103"/>
    </row>
    <row r="111" spans="1:62" x14ac:dyDescent="0.2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BI111" s="103"/>
      <c r="BJ111" s="103"/>
    </row>
    <row r="112" spans="1:62" x14ac:dyDescent="0.2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BI112" s="103"/>
      <c r="BJ112" s="103"/>
    </row>
    <row r="113" spans="1:62" x14ac:dyDescent="0.2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BI113" s="103"/>
      <c r="BJ113" s="103"/>
    </row>
    <row r="114" spans="1:62" x14ac:dyDescent="0.2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BI114" s="103"/>
      <c r="BJ114" s="103"/>
    </row>
    <row r="115" spans="1:62" x14ac:dyDescent="0.2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BI115" s="103"/>
      <c r="BJ115" s="103"/>
    </row>
    <row r="116" spans="1:62" x14ac:dyDescent="0.2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BI116" s="103"/>
      <c r="BJ116" s="103"/>
    </row>
    <row r="117" spans="1:62" x14ac:dyDescent="0.2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BI117" s="103"/>
      <c r="BJ117" s="103"/>
    </row>
    <row r="118" spans="1:62" x14ac:dyDescent="0.2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BI118" s="103"/>
      <c r="BJ118" s="103"/>
    </row>
    <row r="119" spans="1:62" x14ac:dyDescent="0.2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BI119" s="103"/>
      <c r="BJ119" s="103"/>
    </row>
    <row r="120" spans="1:62" x14ac:dyDescent="0.2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BI120" s="103"/>
      <c r="BJ120" s="103"/>
    </row>
    <row r="121" spans="1:62" x14ac:dyDescent="0.2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BI121" s="103"/>
      <c r="BJ121" s="103"/>
    </row>
    <row r="122" spans="1:62" x14ac:dyDescent="0.2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BI122" s="103"/>
      <c r="BJ122" s="103"/>
    </row>
    <row r="123" spans="1:62" x14ac:dyDescent="0.2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BI123" s="103"/>
      <c r="BJ123" s="103"/>
    </row>
    <row r="124" spans="1:62" x14ac:dyDescent="0.2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BI124" s="103"/>
      <c r="BJ124" s="103"/>
    </row>
    <row r="125" spans="1:62" x14ac:dyDescent="0.2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BI125" s="103"/>
      <c r="BJ125" s="103"/>
    </row>
    <row r="126" spans="1:62" x14ac:dyDescent="0.2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BI126" s="103"/>
      <c r="BJ126" s="103"/>
    </row>
    <row r="127" spans="1:62" x14ac:dyDescent="0.2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BI127" s="103"/>
      <c r="BJ127" s="103"/>
    </row>
    <row r="128" spans="1:62" x14ac:dyDescent="0.2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BI128" s="103"/>
      <c r="BJ128" s="103"/>
    </row>
    <row r="129" spans="1:62" x14ac:dyDescent="0.2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BI129" s="103"/>
      <c r="BJ129" s="103"/>
    </row>
    <row r="130" spans="1:62" x14ac:dyDescent="0.2">
      <c r="A130" s="103"/>
      <c r="B130" s="103"/>
      <c r="C130" s="103"/>
      <c r="D130" s="103"/>
      <c r="E130" s="24"/>
      <c r="F130" s="103"/>
      <c r="G130" s="103"/>
      <c r="H130" s="103"/>
      <c r="I130" s="103"/>
      <c r="J130" s="103"/>
      <c r="K130" s="103"/>
      <c r="L130" s="103"/>
      <c r="M130" s="103"/>
      <c r="N130" s="103"/>
      <c r="O130" s="59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BI130" s="103"/>
      <c r="BJ130" s="103"/>
    </row>
    <row r="131" spans="1:62" x14ac:dyDescent="0.2">
      <c r="A131" s="103"/>
      <c r="B131" s="103"/>
      <c r="C131" s="103"/>
      <c r="D131" s="103"/>
      <c r="E131" s="24">
        <f>B1</f>
        <v>0</v>
      </c>
      <c r="F131" s="103"/>
      <c r="G131" s="103"/>
      <c r="H131" s="103"/>
      <c r="I131" s="103"/>
      <c r="J131" s="103"/>
      <c r="K131" s="103"/>
      <c r="L131" s="103"/>
      <c r="M131" s="103"/>
      <c r="N131" s="103"/>
      <c r="O131" s="59" t="str">
        <f>O43</f>
        <v>CDOT Form #429    05/18</v>
      </c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BI131" s="103"/>
      <c r="BJ131" s="103"/>
    </row>
    <row r="132" spans="1:62" x14ac:dyDescent="0.2">
      <c r="A132" s="103"/>
      <c r="B132" s="103"/>
      <c r="C132" s="103"/>
      <c r="D132" s="103"/>
      <c r="E132" s="24" t="str">
        <f>O1</f>
        <v>Lab Mix No.:</v>
      </c>
      <c r="F132" s="103"/>
      <c r="G132" s="24">
        <f>Q1</f>
        <v>0</v>
      </c>
      <c r="H132" s="103"/>
      <c r="I132" s="103"/>
      <c r="J132" s="103"/>
      <c r="K132" s="24" t="s">
        <v>185</v>
      </c>
      <c r="L132" s="103"/>
      <c r="M132" s="103"/>
      <c r="N132" s="103"/>
      <c r="O132" s="59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BI132" s="103"/>
      <c r="BJ132" s="103"/>
    </row>
    <row r="133" spans="1:62" x14ac:dyDescent="0.2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BI133" s="103"/>
      <c r="BJ133" s="103"/>
    </row>
    <row r="134" spans="1:62" x14ac:dyDescent="0.2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BI134" s="103"/>
      <c r="BJ134" s="103"/>
    </row>
    <row r="135" spans="1:62" x14ac:dyDescent="0.2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BI135" s="103"/>
      <c r="BJ135" s="103"/>
    </row>
    <row r="136" spans="1:62" x14ac:dyDescent="0.2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BI136" s="103"/>
      <c r="BJ136" s="103"/>
    </row>
    <row r="137" spans="1:62" x14ac:dyDescent="0.2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BI137" s="103"/>
      <c r="BJ137" s="103"/>
    </row>
    <row r="138" spans="1:62" x14ac:dyDescent="0.2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BI138" s="103"/>
      <c r="BJ138" s="103"/>
    </row>
    <row r="139" spans="1:62" x14ac:dyDescent="0.2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BI139" s="103"/>
      <c r="BJ139" s="103"/>
    </row>
    <row r="140" spans="1:62" x14ac:dyDescent="0.2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BI140" s="103"/>
      <c r="BJ140" s="103"/>
    </row>
    <row r="141" spans="1:62" x14ac:dyDescent="0.2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BI141" s="103"/>
      <c r="BJ141" s="103"/>
    </row>
    <row r="142" spans="1:62" x14ac:dyDescent="0.2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BI142" s="103"/>
      <c r="BJ142" s="103"/>
    </row>
    <row r="143" spans="1:62" x14ac:dyDescent="0.2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BI143" s="103"/>
      <c r="BJ143" s="103"/>
    </row>
    <row r="144" spans="1:62" x14ac:dyDescent="0.2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BI144" s="103"/>
      <c r="BJ144" s="103"/>
    </row>
    <row r="145" spans="1:62" x14ac:dyDescent="0.2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BI145" s="103"/>
      <c r="BJ145" s="103"/>
    </row>
    <row r="146" spans="1:62" x14ac:dyDescent="0.2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BI146" s="103"/>
      <c r="BJ146" s="103"/>
    </row>
    <row r="147" spans="1:62" x14ac:dyDescent="0.2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BI147" s="103"/>
      <c r="BJ147" s="103"/>
    </row>
    <row r="148" spans="1:62" x14ac:dyDescent="0.2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BI148" s="103"/>
      <c r="BJ148" s="103"/>
    </row>
    <row r="149" spans="1:62" x14ac:dyDescent="0.2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BI149" s="103"/>
      <c r="BJ149" s="103"/>
    </row>
    <row r="150" spans="1:62" x14ac:dyDescent="0.2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BI150" s="103"/>
      <c r="BJ150" s="103"/>
    </row>
    <row r="151" spans="1:62" x14ac:dyDescent="0.2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BI151" s="103"/>
      <c r="BJ151" s="103"/>
    </row>
    <row r="152" spans="1:62" x14ac:dyDescent="0.2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BI152" s="103"/>
      <c r="BJ152" s="103"/>
    </row>
    <row r="153" spans="1:62" x14ac:dyDescent="0.2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BI153" s="103"/>
      <c r="BJ153" s="103"/>
    </row>
    <row r="154" spans="1:62" x14ac:dyDescent="0.2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BI154" s="103"/>
      <c r="BJ154" s="103"/>
    </row>
    <row r="155" spans="1:62" x14ac:dyDescent="0.2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BI155" s="103"/>
      <c r="BJ155" s="103"/>
    </row>
    <row r="156" spans="1:62" x14ac:dyDescent="0.2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BI156" s="103"/>
      <c r="BJ156" s="103"/>
    </row>
    <row r="157" spans="1:62" x14ac:dyDescent="0.2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BI157" s="103"/>
      <c r="BJ157" s="103"/>
    </row>
    <row r="158" spans="1:62" x14ac:dyDescent="0.2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BI158" s="103"/>
      <c r="BJ158" s="103"/>
    </row>
    <row r="159" spans="1:62" x14ac:dyDescent="0.2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BI159" s="103"/>
      <c r="BJ159" s="103"/>
    </row>
    <row r="160" spans="1:62" x14ac:dyDescent="0.2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BI160" s="103"/>
      <c r="BJ160" s="103"/>
    </row>
    <row r="161" spans="1:62" x14ac:dyDescent="0.2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BI161" s="103"/>
      <c r="BJ161" s="103"/>
    </row>
    <row r="162" spans="1:62" x14ac:dyDescent="0.2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BI162" s="103"/>
      <c r="BJ162" s="103"/>
    </row>
    <row r="163" spans="1:62" x14ac:dyDescent="0.2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BI163" s="103"/>
      <c r="BJ163" s="103"/>
    </row>
    <row r="164" spans="1:62" x14ac:dyDescent="0.2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BI164" s="103"/>
      <c r="BJ164" s="103"/>
    </row>
    <row r="165" spans="1:62" x14ac:dyDescent="0.2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BI165" s="103"/>
      <c r="BJ165" s="103"/>
    </row>
    <row r="166" spans="1:62" x14ac:dyDescent="0.2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BI166" s="103"/>
      <c r="BJ166" s="103"/>
    </row>
    <row r="167" spans="1:62" x14ac:dyDescent="0.2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BI167" s="103"/>
      <c r="BJ167" s="103"/>
    </row>
    <row r="168" spans="1:62" x14ac:dyDescent="0.2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BI168" s="103"/>
      <c r="BJ168" s="103"/>
    </row>
    <row r="169" spans="1:62" x14ac:dyDescent="0.2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BI169" s="103"/>
      <c r="BJ169" s="103"/>
    </row>
    <row r="170" spans="1:62" x14ac:dyDescent="0.2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BI170" s="103"/>
      <c r="BJ170" s="103"/>
    </row>
    <row r="171" spans="1:62" x14ac:dyDescent="0.2">
      <c r="A171" s="103"/>
      <c r="B171" s="103"/>
      <c r="C171" s="103"/>
      <c r="D171" s="103"/>
      <c r="E171" s="24"/>
      <c r="F171" s="103"/>
      <c r="G171" s="24"/>
      <c r="H171" s="103"/>
      <c r="I171" s="103"/>
      <c r="J171" s="103"/>
      <c r="K171" s="24"/>
      <c r="L171" s="103"/>
      <c r="M171" s="103"/>
      <c r="N171" s="103"/>
      <c r="O171" s="59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BI171" s="103"/>
      <c r="BJ171" s="103"/>
    </row>
    <row r="172" spans="1:62" x14ac:dyDescent="0.2">
      <c r="A172" s="103"/>
      <c r="B172" s="103"/>
      <c r="C172" s="103"/>
      <c r="D172" s="103"/>
      <c r="E172" s="24"/>
      <c r="F172" s="103"/>
      <c r="G172" s="24"/>
      <c r="H172" s="103"/>
      <c r="I172" s="103"/>
      <c r="J172" s="103"/>
      <c r="K172" s="24"/>
      <c r="L172" s="103"/>
      <c r="M172" s="103"/>
      <c r="N172" s="103"/>
      <c r="O172" s="59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BI172" s="103"/>
      <c r="BJ172" s="103"/>
    </row>
    <row r="173" spans="1:62" x14ac:dyDescent="0.2">
      <c r="A173" s="103"/>
      <c r="B173" s="103"/>
      <c r="C173" s="103"/>
      <c r="D173" s="103"/>
      <c r="E173" s="24"/>
      <c r="F173" s="103"/>
      <c r="G173" s="24"/>
      <c r="H173" s="103"/>
      <c r="I173" s="103"/>
      <c r="J173" s="103"/>
      <c r="K173" s="24"/>
      <c r="L173" s="103"/>
      <c r="M173" s="103"/>
      <c r="N173" s="103"/>
      <c r="O173" s="59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BI173" s="103"/>
      <c r="BJ173" s="103"/>
    </row>
    <row r="174" spans="1:62" x14ac:dyDescent="0.2">
      <c r="A174" s="103"/>
      <c r="B174" s="103"/>
      <c r="C174" s="103"/>
      <c r="D174" s="103"/>
      <c r="E174" s="24">
        <f>B1</f>
        <v>0</v>
      </c>
      <c r="F174" s="103"/>
      <c r="G174" s="103"/>
      <c r="H174" s="103"/>
      <c r="I174" s="103"/>
      <c r="J174" s="103"/>
      <c r="K174" s="103"/>
      <c r="L174" s="103"/>
      <c r="M174" s="103"/>
      <c r="N174" s="103"/>
      <c r="O174" s="59" t="str">
        <f>O43</f>
        <v>CDOT Form #429    05/18</v>
      </c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BI174" s="103"/>
      <c r="BJ174" s="103"/>
    </row>
    <row r="175" spans="1:62" x14ac:dyDescent="0.2">
      <c r="A175" s="103"/>
      <c r="B175" s="103"/>
      <c r="C175" s="103"/>
      <c r="D175" s="103"/>
      <c r="E175" s="24" t="str">
        <f>O1</f>
        <v>Lab Mix No.:</v>
      </c>
      <c r="F175" s="103"/>
      <c r="G175" s="24">
        <f>Q1</f>
        <v>0</v>
      </c>
      <c r="H175" s="103"/>
      <c r="I175" s="103"/>
      <c r="J175" s="103"/>
      <c r="K175" s="24" t="s">
        <v>189</v>
      </c>
      <c r="L175" s="103"/>
      <c r="M175" s="103"/>
      <c r="N175" s="103"/>
      <c r="O175" s="59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BI175" s="103"/>
      <c r="BJ175" s="103"/>
    </row>
    <row r="176" spans="1:62" x14ac:dyDescent="0.2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BI176" s="103"/>
      <c r="BJ176" s="103"/>
    </row>
    <row r="177" spans="1:62" x14ac:dyDescent="0.2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BI177" s="103"/>
      <c r="BJ177" s="103"/>
    </row>
    <row r="178" spans="1:62" x14ac:dyDescent="0.2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BI178" s="103"/>
      <c r="BJ178" s="103"/>
    </row>
    <row r="179" spans="1:62" x14ac:dyDescent="0.2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BI179" s="103"/>
      <c r="BJ179" s="103"/>
    </row>
    <row r="180" spans="1:62" x14ac:dyDescent="0.2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BI180" s="103"/>
      <c r="BJ180" s="103"/>
    </row>
    <row r="181" spans="1:62" x14ac:dyDescent="0.2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BI181" s="103"/>
      <c r="BJ181" s="103"/>
    </row>
    <row r="182" spans="1:62" x14ac:dyDescent="0.2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BI182" s="103"/>
      <c r="BJ182" s="103"/>
    </row>
    <row r="183" spans="1:62" x14ac:dyDescent="0.2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BI183" s="103"/>
      <c r="BJ183" s="103"/>
    </row>
    <row r="184" spans="1:62" x14ac:dyDescent="0.2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BI184" s="103"/>
      <c r="BJ184" s="103"/>
    </row>
    <row r="185" spans="1:62" x14ac:dyDescent="0.2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BI185" s="103"/>
      <c r="BJ185" s="103"/>
    </row>
    <row r="186" spans="1:62" x14ac:dyDescent="0.2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BI186" s="103"/>
      <c r="BJ186" s="103"/>
    </row>
    <row r="187" spans="1:62" x14ac:dyDescent="0.2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BI187" s="103"/>
      <c r="BJ187" s="103"/>
    </row>
    <row r="188" spans="1:62" x14ac:dyDescent="0.2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BI188" s="103"/>
      <c r="BJ188" s="103"/>
    </row>
    <row r="189" spans="1:62" x14ac:dyDescent="0.2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BI189" s="103"/>
      <c r="BJ189" s="103"/>
    </row>
    <row r="190" spans="1:62" x14ac:dyDescent="0.2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BI190" s="103"/>
      <c r="BJ190" s="103"/>
    </row>
    <row r="191" spans="1:62" x14ac:dyDescent="0.2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BI191" s="103"/>
      <c r="BJ191" s="103"/>
    </row>
    <row r="192" spans="1:62" x14ac:dyDescent="0.2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BI192" s="103"/>
      <c r="BJ192" s="103"/>
    </row>
    <row r="193" spans="1:62" x14ac:dyDescent="0.2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BI193" s="103"/>
      <c r="BJ193" s="103"/>
    </row>
    <row r="194" spans="1:62" x14ac:dyDescent="0.2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BI194" s="103"/>
      <c r="BJ194" s="103"/>
    </row>
    <row r="195" spans="1:62" x14ac:dyDescent="0.2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BI195" s="103"/>
      <c r="BJ195" s="103"/>
    </row>
    <row r="196" spans="1:62" x14ac:dyDescent="0.2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BI196" s="103"/>
      <c r="BJ196" s="103"/>
    </row>
    <row r="197" spans="1:62" x14ac:dyDescent="0.2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BI197" s="103"/>
      <c r="BJ197" s="103"/>
    </row>
    <row r="198" spans="1:62" x14ac:dyDescent="0.2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BI198" s="103"/>
      <c r="BJ198" s="103"/>
    </row>
    <row r="199" spans="1:62" x14ac:dyDescent="0.2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BI199" s="103"/>
      <c r="BJ199" s="103"/>
    </row>
    <row r="200" spans="1:62" x14ac:dyDescent="0.2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BI200" s="103"/>
      <c r="BJ200" s="103"/>
    </row>
    <row r="201" spans="1:62" x14ac:dyDescent="0.2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BI201" s="103"/>
      <c r="BJ201" s="103"/>
    </row>
    <row r="202" spans="1:62" x14ac:dyDescent="0.2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BI202" s="103"/>
      <c r="BJ202" s="103"/>
    </row>
    <row r="203" spans="1:62" x14ac:dyDescent="0.2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BI203" s="103"/>
      <c r="BJ203" s="103"/>
    </row>
    <row r="204" spans="1:62" x14ac:dyDescent="0.2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BI204" s="103"/>
      <c r="BJ204" s="103"/>
    </row>
    <row r="205" spans="1:62" x14ac:dyDescent="0.2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BI205" s="103"/>
      <c r="BJ205" s="103"/>
    </row>
    <row r="206" spans="1:62" x14ac:dyDescent="0.2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BI206" s="103"/>
      <c r="BJ206" s="103"/>
    </row>
    <row r="207" spans="1:62" x14ac:dyDescent="0.2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BI207" s="103"/>
      <c r="BJ207" s="103"/>
    </row>
    <row r="208" spans="1:62" x14ac:dyDescent="0.2">
      <c r="A208" s="103"/>
      <c r="B208" s="103"/>
      <c r="C208" s="103"/>
      <c r="D208" s="103"/>
      <c r="E208" s="24">
        <f>B1</f>
        <v>0</v>
      </c>
      <c r="F208" s="103"/>
      <c r="G208" s="103"/>
      <c r="H208" s="103"/>
      <c r="I208" s="103"/>
      <c r="J208" s="103"/>
      <c r="K208" s="103"/>
      <c r="L208" s="103"/>
      <c r="M208" s="103"/>
      <c r="N208" s="103"/>
      <c r="O208" s="59" t="str">
        <f>O43</f>
        <v>CDOT Form #429    05/18</v>
      </c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  <c r="AN208" s="103"/>
      <c r="AO208" s="103"/>
      <c r="AP208" s="103"/>
      <c r="AQ208" s="103"/>
      <c r="AR208" s="103"/>
      <c r="AS208" s="103"/>
      <c r="AT208" s="103"/>
      <c r="AU208" s="103"/>
      <c r="AV208" s="103"/>
      <c r="AW208" s="103"/>
      <c r="BI208" s="103"/>
      <c r="BJ208" s="103"/>
    </row>
    <row r="209" spans="1:62" x14ac:dyDescent="0.2">
      <c r="A209" s="103"/>
      <c r="B209" s="103"/>
      <c r="C209" s="103"/>
      <c r="D209" s="103"/>
      <c r="E209" s="24" t="str">
        <f>O1</f>
        <v>Lab Mix No.:</v>
      </c>
      <c r="F209" s="103"/>
      <c r="G209" s="24">
        <f>Q1</f>
        <v>0</v>
      </c>
      <c r="H209" s="103"/>
      <c r="I209" s="103"/>
      <c r="J209" s="103"/>
      <c r="K209" s="24" t="s">
        <v>188</v>
      </c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  <c r="AN209" s="103"/>
      <c r="AO209" s="103"/>
      <c r="AP209" s="103"/>
      <c r="AQ209" s="103"/>
      <c r="AR209" s="103"/>
      <c r="AS209" s="103"/>
      <c r="AT209" s="103"/>
      <c r="AU209" s="103"/>
      <c r="AV209" s="103"/>
      <c r="AW209" s="103"/>
      <c r="BI209" s="103"/>
      <c r="BJ209" s="103"/>
    </row>
    <row r="210" spans="1:62" x14ac:dyDescent="0.2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  <c r="AN210" s="103"/>
      <c r="AO210" s="103"/>
      <c r="AP210" s="103"/>
      <c r="AQ210" s="103"/>
      <c r="AR210" s="103"/>
      <c r="AS210" s="103"/>
      <c r="AT210" s="103"/>
      <c r="AU210" s="103"/>
      <c r="AV210" s="103"/>
      <c r="AW210" s="103"/>
      <c r="BI210" s="103"/>
      <c r="BJ210" s="103"/>
    </row>
    <row r="211" spans="1:62" x14ac:dyDescent="0.2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  <c r="AN211" s="103"/>
      <c r="AO211" s="103"/>
      <c r="AP211" s="103"/>
      <c r="AQ211" s="103"/>
      <c r="AR211" s="103"/>
      <c r="AS211" s="103"/>
      <c r="AT211" s="103"/>
      <c r="AU211" s="103"/>
      <c r="AV211" s="103"/>
      <c r="AW211" s="103"/>
      <c r="BI211" s="103"/>
      <c r="BJ211" s="103"/>
    </row>
    <row r="212" spans="1:62" x14ac:dyDescent="0.2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  <c r="AN212" s="103"/>
      <c r="AO212" s="103"/>
      <c r="AP212" s="103"/>
      <c r="AQ212" s="103"/>
      <c r="AR212" s="103"/>
      <c r="AS212" s="103"/>
      <c r="AT212" s="103"/>
      <c r="AU212" s="103"/>
      <c r="AV212" s="103"/>
      <c r="AW212" s="103"/>
      <c r="BI212" s="103"/>
      <c r="BJ212" s="103"/>
    </row>
    <row r="213" spans="1:62" x14ac:dyDescent="0.2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  <c r="AN213" s="103"/>
      <c r="AO213" s="103"/>
      <c r="AP213" s="103"/>
      <c r="AQ213" s="103"/>
      <c r="AR213" s="103"/>
      <c r="AS213" s="103"/>
      <c r="AT213" s="103"/>
      <c r="AU213" s="103"/>
      <c r="AV213" s="103"/>
      <c r="AW213" s="103"/>
      <c r="BI213" s="103"/>
      <c r="BJ213" s="103"/>
    </row>
    <row r="214" spans="1:62" x14ac:dyDescent="0.2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  <c r="AN214" s="103"/>
      <c r="AO214" s="103"/>
      <c r="AP214" s="103"/>
      <c r="AQ214" s="103"/>
      <c r="AR214" s="103"/>
      <c r="AS214" s="103"/>
      <c r="AT214" s="103"/>
      <c r="AU214" s="103"/>
      <c r="AV214" s="103"/>
      <c r="AW214" s="103"/>
      <c r="BI214" s="103"/>
      <c r="BJ214" s="103"/>
    </row>
    <row r="215" spans="1:62" x14ac:dyDescent="0.2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  <c r="AN215" s="103"/>
      <c r="AO215" s="103"/>
      <c r="AP215" s="103"/>
      <c r="AQ215" s="103"/>
      <c r="AR215" s="103"/>
      <c r="AS215" s="103"/>
      <c r="AT215" s="103"/>
      <c r="AU215" s="103"/>
      <c r="AV215" s="103"/>
      <c r="AW215" s="103"/>
      <c r="BI215" s="103"/>
      <c r="BJ215" s="103"/>
    </row>
    <row r="216" spans="1:62" x14ac:dyDescent="0.2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  <c r="AN216" s="103"/>
      <c r="AO216" s="103"/>
      <c r="AP216" s="103"/>
      <c r="AQ216" s="103"/>
      <c r="AR216" s="103"/>
      <c r="AS216" s="103"/>
      <c r="AT216" s="103"/>
      <c r="AU216" s="103"/>
      <c r="AV216" s="103"/>
      <c r="AW216" s="103"/>
      <c r="BI216" s="103"/>
      <c r="BJ216" s="103"/>
    </row>
    <row r="217" spans="1:62" x14ac:dyDescent="0.2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  <c r="AN217" s="103"/>
      <c r="AO217" s="103"/>
      <c r="AP217" s="103"/>
      <c r="AQ217" s="103"/>
      <c r="AR217" s="103"/>
      <c r="AS217" s="103"/>
      <c r="AT217" s="103"/>
      <c r="AU217" s="103"/>
      <c r="AV217" s="103"/>
      <c r="AW217" s="103"/>
      <c r="BI217" s="103"/>
      <c r="BJ217" s="103"/>
    </row>
    <row r="218" spans="1:62" x14ac:dyDescent="0.2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103"/>
      <c r="AS218" s="103"/>
      <c r="AT218" s="103"/>
      <c r="AU218" s="103"/>
      <c r="AV218" s="103"/>
      <c r="AW218" s="103"/>
      <c r="BI218" s="103"/>
      <c r="BJ218" s="103"/>
    </row>
    <row r="219" spans="1:62" x14ac:dyDescent="0.2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  <c r="AN219" s="103"/>
      <c r="AO219" s="103"/>
      <c r="AP219" s="103"/>
      <c r="AQ219" s="103"/>
      <c r="AR219" s="103"/>
      <c r="AS219" s="103"/>
      <c r="AT219" s="103"/>
      <c r="AU219" s="103"/>
      <c r="AV219" s="103"/>
      <c r="AW219" s="103"/>
      <c r="BI219" s="103"/>
      <c r="BJ219" s="103"/>
    </row>
    <row r="220" spans="1:62" x14ac:dyDescent="0.2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BI220" s="103"/>
      <c r="BJ220" s="103"/>
    </row>
    <row r="221" spans="1:62" x14ac:dyDescent="0.2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  <c r="AN221" s="103"/>
      <c r="AO221" s="103"/>
      <c r="AP221" s="103"/>
      <c r="AQ221" s="103"/>
      <c r="AR221" s="103"/>
      <c r="AS221" s="103"/>
      <c r="AT221" s="103"/>
      <c r="AU221" s="103"/>
      <c r="AV221" s="103"/>
      <c r="AW221" s="103"/>
      <c r="BI221" s="103"/>
      <c r="BJ221" s="103"/>
    </row>
    <row r="222" spans="1:62" x14ac:dyDescent="0.2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  <c r="AN222" s="103"/>
      <c r="AO222" s="103"/>
      <c r="AP222" s="103"/>
      <c r="AQ222" s="103"/>
      <c r="AR222" s="103"/>
      <c r="AS222" s="103"/>
      <c r="AT222" s="103"/>
      <c r="AU222" s="103"/>
      <c r="AV222" s="103"/>
      <c r="AW222" s="103"/>
      <c r="BI222" s="103"/>
      <c r="BJ222" s="103"/>
    </row>
    <row r="223" spans="1:62" x14ac:dyDescent="0.2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BI223" s="103"/>
      <c r="BJ223" s="103"/>
    </row>
    <row r="224" spans="1:62" x14ac:dyDescent="0.2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  <c r="AN224" s="103"/>
      <c r="AO224" s="103"/>
      <c r="AP224" s="103"/>
      <c r="AQ224" s="103"/>
      <c r="AR224" s="103"/>
      <c r="AS224" s="103"/>
      <c r="AT224" s="103"/>
      <c r="AU224" s="103"/>
      <c r="AV224" s="103"/>
      <c r="AW224" s="103"/>
      <c r="BI224" s="103"/>
      <c r="BJ224" s="103"/>
    </row>
    <row r="225" spans="1:62" x14ac:dyDescent="0.2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BI225" s="103"/>
      <c r="BJ225" s="103"/>
    </row>
    <row r="226" spans="1:62" x14ac:dyDescent="0.2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BI226" s="103"/>
      <c r="BJ226" s="103"/>
    </row>
    <row r="227" spans="1:62" x14ac:dyDescent="0.2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  <c r="AN227" s="103"/>
      <c r="AO227" s="103"/>
      <c r="AP227" s="103"/>
      <c r="AQ227" s="103"/>
      <c r="AR227" s="103"/>
      <c r="AS227" s="103"/>
      <c r="AT227" s="103"/>
      <c r="AU227" s="103"/>
      <c r="AV227" s="103"/>
      <c r="AW227" s="103"/>
      <c r="BI227" s="103"/>
      <c r="BJ227" s="103"/>
    </row>
    <row r="228" spans="1:62" x14ac:dyDescent="0.2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BI228" s="103"/>
      <c r="BJ228" s="103"/>
    </row>
    <row r="229" spans="1:62" x14ac:dyDescent="0.2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BI229" s="103"/>
      <c r="BJ229" s="103"/>
    </row>
    <row r="230" spans="1:62" x14ac:dyDescent="0.2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BI230" s="103"/>
      <c r="BJ230" s="103"/>
    </row>
    <row r="231" spans="1:62" x14ac:dyDescent="0.2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  <c r="AN231" s="103"/>
      <c r="AO231" s="103"/>
      <c r="AP231" s="103"/>
      <c r="AQ231" s="103"/>
      <c r="AR231" s="103"/>
      <c r="AS231" s="103"/>
      <c r="AT231" s="103"/>
      <c r="AU231" s="103"/>
      <c r="AV231" s="103"/>
      <c r="AW231" s="103"/>
      <c r="BI231" s="103"/>
      <c r="BJ231" s="103"/>
    </row>
    <row r="232" spans="1:62" x14ac:dyDescent="0.2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  <c r="AN232" s="103"/>
      <c r="AO232" s="103"/>
      <c r="AP232" s="103"/>
      <c r="AQ232" s="103"/>
      <c r="AR232" s="103"/>
      <c r="AS232" s="103"/>
      <c r="AT232" s="103"/>
      <c r="AU232" s="103"/>
      <c r="AV232" s="103"/>
      <c r="AW232" s="103"/>
      <c r="BI232" s="103"/>
      <c r="BJ232" s="103"/>
    </row>
    <row r="233" spans="1:62" x14ac:dyDescent="0.2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  <c r="AN233" s="103"/>
      <c r="AO233" s="103"/>
      <c r="AP233" s="103"/>
      <c r="AQ233" s="103"/>
      <c r="AR233" s="103"/>
      <c r="AS233" s="103"/>
      <c r="AT233" s="103"/>
      <c r="AU233" s="103"/>
      <c r="AV233" s="103"/>
      <c r="AW233" s="103"/>
      <c r="BI233" s="103"/>
      <c r="BJ233" s="103"/>
    </row>
    <row r="234" spans="1:62" x14ac:dyDescent="0.2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  <c r="AN234" s="103"/>
      <c r="AO234" s="103"/>
      <c r="AP234" s="103"/>
      <c r="AQ234" s="103"/>
      <c r="AR234" s="103"/>
      <c r="AS234" s="103"/>
      <c r="AT234" s="103"/>
      <c r="AU234" s="103"/>
      <c r="AV234" s="103"/>
      <c r="AW234" s="103"/>
      <c r="BI234" s="103"/>
      <c r="BJ234" s="103"/>
    </row>
    <row r="235" spans="1:62" x14ac:dyDescent="0.2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  <c r="AN235" s="103"/>
      <c r="AO235" s="103"/>
      <c r="AP235" s="103"/>
      <c r="AQ235" s="103"/>
      <c r="AR235" s="103"/>
      <c r="AS235" s="103"/>
      <c r="AT235" s="103"/>
      <c r="AU235" s="103"/>
      <c r="AV235" s="103"/>
      <c r="AW235" s="103"/>
      <c r="BI235" s="103"/>
      <c r="BJ235" s="103"/>
    </row>
    <row r="236" spans="1:62" x14ac:dyDescent="0.2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  <c r="AN236" s="103"/>
      <c r="AO236" s="103"/>
      <c r="AP236" s="103"/>
      <c r="AQ236" s="103"/>
      <c r="AR236" s="103"/>
      <c r="AS236" s="103"/>
      <c r="AT236" s="103"/>
      <c r="AU236" s="103"/>
      <c r="AV236" s="103"/>
      <c r="AW236" s="103"/>
      <c r="BI236" s="103"/>
      <c r="BJ236" s="103"/>
    </row>
    <row r="237" spans="1:62" x14ac:dyDescent="0.2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  <c r="AN237" s="103"/>
      <c r="AO237" s="103"/>
      <c r="AP237" s="103"/>
      <c r="AQ237" s="103"/>
      <c r="AR237" s="103"/>
      <c r="AS237" s="103"/>
      <c r="AT237" s="103"/>
      <c r="AU237" s="103"/>
      <c r="AV237" s="103"/>
      <c r="AW237" s="103"/>
      <c r="BI237" s="103"/>
      <c r="BJ237" s="103"/>
    </row>
    <row r="238" spans="1:62" x14ac:dyDescent="0.2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  <c r="AN238" s="103"/>
      <c r="AO238" s="103"/>
      <c r="AP238" s="103"/>
      <c r="AQ238" s="103"/>
      <c r="AR238" s="103"/>
      <c r="AS238" s="103"/>
      <c r="AT238" s="103"/>
      <c r="AU238" s="103"/>
      <c r="AV238" s="103"/>
      <c r="AW238" s="103"/>
      <c r="BI238" s="103"/>
      <c r="BJ238" s="103"/>
    </row>
    <row r="239" spans="1:62" x14ac:dyDescent="0.2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  <c r="AN239" s="103"/>
      <c r="AO239" s="103"/>
      <c r="AP239" s="103"/>
      <c r="AQ239" s="103"/>
      <c r="AR239" s="103"/>
      <c r="AS239" s="103"/>
      <c r="AT239" s="103"/>
      <c r="AU239" s="103"/>
      <c r="AV239" s="103"/>
      <c r="AW239" s="103"/>
      <c r="BI239" s="103"/>
      <c r="BJ239" s="103"/>
    </row>
    <row r="240" spans="1:62" x14ac:dyDescent="0.2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BI240" s="103"/>
      <c r="BJ240" s="103"/>
    </row>
    <row r="241" spans="1:62" x14ac:dyDescent="0.2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BI241" s="103"/>
      <c r="BJ241" s="103"/>
    </row>
    <row r="242" spans="1:62" x14ac:dyDescent="0.2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103"/>
      <c r="AS242" s="103"/>
      <c r="AT242" s="103"/>
      <c r="AU242" s="103"/>
      <c r="AV242" s="103"/>
      <c r="AW242" s="103"/>
      <c r="BI242" s="103"/>
      <c r="BJ242" s="103"/>
    </row>
    <row r="243" spans="1:62" x14ac:dyDescent="0.2">
      <c r="A243" s="103"/>
      <c r="B243" s="103"/>
      <c r="C243" s="103"/>
      <c r="D243" s="103"/>
      <c r="E243" s="156"/>
      <c r="F243" s="24"/>
      <c r="G243" s="158"/>
      <c r="H243" s="24"/>
      <c r="I243" s="24"/>
      <c r="J243" s="24"/>
      <c r="K243" s="24"/>
      <c r="L243" s="103"/>
      <c r="M243" s="24"/>
      <c r="N243" s="24"/>
      <c r="O243" s="103"/>
      <c r="P243" s="24"/>
      <c r="Q243" s="24" t="s">
        <v>22</v>
      </c>
      <c r="R243" s="24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  <c r="AN243" s="103"/>
      <c r="AO243" s="103"/>
      <c r="AP243" s="103"/>
      <c r="AQ243" s="103"/>
      <c r="AR243" s="103"/>
      <c r="AS243" s="103"/>
      <c r="AT243" s="103"/>
      <c r="AU243" s="103"/>
      <c r="AV243" s="103"/>
      <c r="AW243" s="103"/>
      <c r="BI243" s="103"/>
      <c r="BJ243" s="103"/>
    </row>
    <row r="244" spans="1:62" x14ac:dyDescent="0.2">
      <c r="A244" s="103"/>
      <c r="B244" s="103"/>
      <c r="C244" s="103"/>
      <c r="D244" s="103"/>
      <c r="E244" s="156"/>
      <c r="F244" s="24"/>
      <c r="G244" s="158"/>
      <c r="H244" s="24"/>
      <c r="I244" s="24"/>
      <c r="J244" s="24"/>
      <c r="K244" s="24"/>
      <c r="L244" s="103"/>
      <c r="M244" s="24"/>
      <c r="N244" s="24"/>
      <c r="O244" s="103"/>
      <c r="P244" s="24"/>
      <c r="Q244" s="24"/>
      <c r="R244" s="24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103"/>
      <c r="AR244" s="103"/>
      <c r="AS244" s="103"/>
      <c r="AT244" s="103"/>
      <c r="AU244" s="103"/>
      <c r="AV244" s="103"/>
      <c r="AW244" s="103"/>
      <c r="BI244" s="103"/>
      <c r="BJ244" s="103"/>
    </row>
    <row r="245" spans="1:62" x14ac:dyDescent="0.2">
      <c r="A245" s="103"/>
      <c r="B245" s="103"/>
      <c r="C245" s="103"/>
      <c r="D245" s="103"/>
      <c r="E245" s="156"/>
      <c r="F245" s="24"/>
      <c r="G245" s="158"/>
      <c r="H245" s="24"/>
      <c r="I245" s="24"/>
      <c r="J245" s="24"/>
      <c r="K245" s="24"/>
      <c r="L245" s="103"/>
      <c r="M245" s="24"/>
      <c r="N245" s="24"/>
      <c r="O245" s="103"/>
      <c r="P245" s="24"/>
      <c r="Q245" s="24"/>
      <c r="R245" s="24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  <c r="AN245" s="103"/>
      <c r="AO245" s="103"/>
      <c r="AP245" s="103"/>
      <c r="AQ245" s="103"/>
      <c r="AR245" s="103"/>
      <c r="AS245" s="103"/>
      <c r="AT245" s="103"/>
      <c r="AU245" s="103"/>
      <c r="AV245" s="103"/>
      <c r="AW245" s="103"/>
      <c r="BI245" s="103"/>
      <c r="BJ245" s="103"/>
    </row>
    <row r="246" spans="1:62" x14ac:dyDescent="0.2">
      <c r="A246" s="103"/>
      <c r="B246" s="103"/>
      <c r="C246" s="103"/>
      <c r="D246" s="103"/>
      <c r="E246" s="156"/>
      <c r="F246" s="24"/>
      <c r="G246" s="158"/>
      <c r="H246" s="24"/>
      <c r="I246" s="24"/>
      <c r="J246" s="24"/>
      <c r="K246" s="24"/>
      <c r="L246" s="103"/>
      <c r="M246" s="24"/>
      <c r="N246" s="24"/>
      <c r="O246" s="103"/>
      <c r="P246" s="24"/>
      <c r="Q246" s="24"/>
      <c r="R246" s="24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BI246" s="103"/>
      <c r="BJ246" s="103"/>
    </row>
    <row r="247" spans="1:62" x14ac:dyDescent="0.2">
      <c r="A247" s="103"/>
      <c r="B247" s="103"/>
      <c r="C247" s="103"/>
      <c r="D247" s="103"/>
      <c r="E247" s="156"/>
      <c r="F247" s="24"/>
      <c r="G247" s="158"/>
      <c r="H247" s="24"/>
      <c r="I247" s="24"/>
      <c r="J247" s="24"/>
      <c r="K247" s="24"/>
      <c r="L247" s="103"/>
      <c r="M247" s="24"/>
      <c r="N247" s="24"/>
      <c r="O247" s="103"/>
      <c r="P247" s="24"/>
      <c r="Q247" s="24"/>
      <c r="R247" s="24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  <c r="AN247" s="103"/>
      <c r="AO247" s="103"/>
      <c r="AP247" s="103"/>
      <c r="AQ247" s="103"/>
      <c r="AR247" s="103"/>
      <c r="AS247" s="103"/>
      <c r="AT247" s="103"/>
      <c r="AU247" s="103"/>
      <c r="AV247" s="103"/>
      <c r="AW247" s="103"/>
      <c r="BI247" s="103"/>
      <c r="BJ247" s="103"/>
    </row>
    <row r="248" spans="1:62" x14ac:dyDescent="0.2">
      <c r="A248" s="103"/>
      <c r="B248" s="103"/>
      <c r="C248" s="103"/>
      <c r="D248" s="103"/>
      <c r="E248" s="156"/>
      <c r="F248" s="24"/>
      <c r="G248" s="158"/>
      <c r="H248" s="24"/>
      <c r="I248" s="24"/>
      <c r="J248" s="24"/>
      <c r="K248" s="24"/>
      <c r="L248" s="103"/>
      <c r="M248" s="24"/>
      <c r="N248" s="24"/>
      <c r="O248" s="103"/>
      <c r="P248" s="24"/>
      <c r="Q248" s="24"/>
      <c r="R248" s="24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  <c r="AN248" s="103"/>
      <c r="AO248" s="103"/>
      <c r="AP248" s="103"/>
      <c r="AQ248" s="103"/>
      <c r="AR248" s="103"/>
      <c r="AS248" s="103"/>
      <c r="AT248" s="103"/>
      <c r="AU248" s="103"/>
      <c r="AV248" s="103"/>
      <c r="AW248" s="103"/>
      <c r="BI248" s="103"/>
      <c r="BJ248" s="103"/>
    </row>
    <row r="249" spans="1:62" x14ac:dyDescent="0.2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  <c r="AN249" s="103"/>
      <c r="AO249" s="103"/>
      <c r="AP249" s="103"/>
      <c r="AQ249" s="103"/>
      <c r="AR249" s="103"/>
      <c r="AS249" s="103"/>
      <c r="AT249" s="103"/>
      <c r="AU249" s="103"/>
      <c r="AV249" s="103"/>
      <c r="AW249" s="103"/>
      <c r="BI249" s="103"/>
      <c r="BJ249" s="103"/>
    </row>
    <row r="250" spans="1:62" ht="20.25" x14ac:dyDescent="0.3">
      <c r="A250" s="103"/>
      <c r="B250" s="103"/>
      <c r="C250" s="103"/>
      <c r="D250" s="24">
        <f>B1</f>
        <v>0</v>
      </c>
      <c r="E250" s="103"/>
      <c r="F250" s="103"/>
      <c r="G250" s="103"/>
      <c r="H250" s="159" t="s">
        <v>68</v>
      </c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  <c r="AN250" s="103"/>
      <c r="AO250" s="103"/>
      <c r="AP250" s="103"/>
      <c r="AQ250" s="103"/>
      <c r="AR250" s="103"/>
      <c r="AS250" s="103"/>
      <c r="AT250" s="103"/>
      <c r="AU250" s="103"/>
      <c r="AV250" s="103"/>
      <c r="AW250" s="103"/>
      <c r="BI250" s="103"/>
      <c r="BJ250" s="103"/>
    </row>
    <row r="251" spans="1:62" x14ac:dyDescent="0.2">
      <c r="A251" s="103"/>
      <c r="B251" s="103"/>
      <c r="C251" s="103"/>
      <c r="D251" s="24" t="str">
        <f>O1</f>
        <v>Lab Mix No.:</v>
      </c>
      <c r="E251" s="103"/>
      <c r="F251" s="24">
        <f>Q1</f>
        <v>0</v>
      </c>
      <c r="G251" s="103"/>
      <c r="H251" s="103"/>
      <c r="I251" s="103"/>
      <c r="J251" s="103"/>
      <c r="K251" s="24" t="s">
        <v>187</v>
      </c>
      <c r="L251" s="103"/>
      <c r="M251" s="103"/>
      <c r="N251" s="103"/>
      <c r="O251" s="59" t="str">
        <f>O43</f>
        <v>CDOT Form #429    05/18</v>
      </c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  <c r="AN251" s="103"/>
      <c r="AO251" s="103"/>
      <c r="AP251" s="103"/>
      <c r="AQ251" s="103"/>
      <c r="AR251" s="103"/>
      <c r="AS251" s="103"/>
      <c r="AT251" s="103"/>
      <c r="AU251" s="103"/>
      <c r="AV251" s="103"/>
      <c r="AW251" s="103"/>
      <c r="BI251" s="103"/>
      <c r="BJ251" s="103"/>
    </row>
  </sheetData>
  <sheetProtection algorithmName="SHA-512" hashValue="ERM7OM8Y5nSxXTdyuUUl2lxMbFnl60s/doQ5XOOISnks3yn5W7J90pyYqGLftYkp8sjjIpfchC94r/lSjpjl2Q==" saltValue="XFA3TXsjRMaBs0eSvPOYGw==" spinCount="100000" sheet="1" objects="1" scenarios="1"/>
  <dataConsolidate/>
  <mergeCells count="17">
    <mergeCell ref="F10:K10"/>
    <mergeCell ref="M10:O10"/>
    <mergeCell ref="AT38:AU38"/>
    <mergeCell ref="AV38:AW38"/>
    <mergeCell ref="BI38:BJ38"/>
    <mergeCell ref="AP38:AQ38"/>
    <mergeCell ref="AR38:AS38"/>
    <mergeCell ref="B45:H45"/>
    <mergeCell ref="AH38:AI38"/>
    <mergeCell ref="AJ38:AK38"/>
    <mergeCell ref="AL38:AM38"/>
    <mergeCell ref="AN38:AO38"/>
    <mergeCell ref="B1:H1"/>
    <mergeCell ref="J3:K3"/>
    <mergeCell ref="G6:H6"/>
    <mergeCell ref="G7:H7"/>
    <mergeCell ref="Q7:R7"/>
  </mergeCells>
  <conditionalFormatting sqref="Q29">
    <cfRule type="containsText" dxfId="15" priority="16" operator="containsText" text="#N/A">
      <formula>NOT(ISERROR(SEARCH("#N/A",Q29)))</formula>
    </cfRule>
  </conditionalFormatting>
  <conditionalFormatting sqref="Q17:R28">
    <cfRule type="containsErrors" dxfId="14" priority="15">
      <formula>ISERROR(Q17)</formula>
    </cfRule>
  </conditionalFormatting>
  <conditionalFormatting sqref="O83:O87">
    <cfRule type="containsText" dxfId="13" priority="13" operator="containsText" text="YES">
      <formula>NOT(ISERROR(SEARCH("YES",O83)))</formula>
    </cfRule>
    <cfRule type="containsText" dxfId="12" priority="14" operator="containsText" text="NO">
      <formula>NOT(ISERROR(SEARCH("NO",O83)))</formula>
    </cfRule>
  </conditionalFormatting>
  <conditionalFormatting sqref="H65:M65 O65:Q65">
    <cfRule type="containsErrors" dxfId="11" priority="12">
      <formula>ISERROR(H65)</formula>
    </cfRule>
  </conditionalFormatting>
  <conditionalFormatting sqref="N63">
    <cfRule type="containsErrors" dxfId="10" priority="11">
      <formula>ISERROR(N63)</formula>
    </cfRule>
  </conditionalFormatting>
  <conditionalFormatting sqref="Q65">
    <cfRule type="cellIs" dxfId="9" priority="1" operator="between">
      <formula>23.1</formula>
      <formula>30.1</formula>
    </cfRule>
    <cfRule type="cellIs" dxfId="8" priority="2" operator="lessThan">
      <formula>30.1</formula>
    </cfRule>
    <cfRule type="cellIs" dxfId="7" priority="3" operator="greaterThan">
      <formula>30.1</formula>
    </cfRule>
    <cfRule type="cellIs" dxfId="6" priority="4" operator="between">
      <formula>23.00001</formula>
      <formula>30.00001</formula>
    </cfRule>
    <cfRule type="cellIs" dxfId="5" priority="5" operator="lessThan">
      <formula>30.00001</formula>
    </cfRule>
    <cfRule type="cellIs" dxfId="4" priority="6" operator="greaterThan">
      <formula>30</formula>
    </cfRule>
    <cfRule type="cellIs" dxfId="3" priority="9" operator="greaterThan">
      <formula>30.1</formula>
    </cfRule>
    <cfRule type="cellIs" dxfId="2" priority="10" operator="between">
      <formula>0</formula>
      <formula>30</formula>
    </cfRule>
  </conditionalFormatting>
  <conditionalFormatting sqref="N65">
    <cfRule type="containsErrors" dxfId="1" priority="8">
      <formula>ISERROR(N65)</formula>
    </cfRule>
  </conditionalFormatting>
  <conditionalFormatting sqref="R65">
    <cfRule type="containsErrors" dxfId="0" priority="7">
      <formula>ISERROR(R65)</formula>
    </cfRule>
  </conditionalFormatting>
  <dataValidations count="8">
    <dataValidation type="list" allowBlank="1" showInputMessage="1" showErrorMessage="1" sqref="R37">
      <formula1>$U$40:$U$42</formula1>
    </dataValidation>
    <dataValidation type="list" allowBlank="1" showInputMessage="1" showErrorMessage="1" sqref="P78">
      <formula1>$C$17:$C$28</formula1>
    </dataValidation>
    <dataValidation type="list" allowBlank="1" showInputMessage="1" showErrorMessage="1" sqref="L7">
      <formula1>$AA$19:$AA$24</formula1>
    </dataValidation>
    <dataValidation type="list" allowBlank="1" showInputMessage="1" showErrorMessage="1" sqref="M6">
      <formula1>$AB$19:$AB$23</formula1>
    </dataValidation>
    <dataValidation type="list" allowBlank="1" showInputMessage="1" showErrorMessage="1" sqref="Q3">
      <formula1>$Z$19:$Z$25</formula1>
    </dataValidation>
    <dataValidation type="list" allowBlank="1" showInputMessage="1" showErrorMessage="1" sqref="O6">
      <formula1>$Y$18:$Y$22</formula1>
    </dataValidation>
    <dataValidation type="list" allowBlank="1" showInputMessage="1" showErrorMessage="1" sqref="J6">
      <formula1>$X$19:$X$27</formula1>
    </dataValidation>
    <dataValidation type="list" allowBlank="1" showErrorMessage="1" errorTitle="Invalid Entry!" error="Please select the type of recycled product." sqref="M11:O11">
      <formula1>$U$11:$U$13</formula1>
    </dataValidation>
  </dataValidations>
  <pageMargins left="0.5" right="0.5" top="1" bottom="0.93" header="0.5" footer="0.5"/>
  <pageSetup scale="86" orientation="landscape" r:id="rId1"/>
  <headerFooter alignWithMargins="0"/>
  <rowBreaks count="5" manualBreakCount="5">
    <brk id="43" min="1" max="16" man="1"/>
    <brk id="89" min="1" max="16" man="1"/>
    <brk id="132" min="1" max="16" man="1"/>
    <brk id="175" min="1" max="16" man="1"/>
    <brk id="209" min="1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16</xdr:col>
                    <xdr:colOff>57150</xdr:colOff>
                    <xdr:row>4</xdr:row>
                    <xdr:rowOff>152400</xdr:rowOff>
                  </from>
                  <to>
                    <xdr:col>16</xdr:col>
                    <xdr:colOff>495300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16</xdr:col>
                    <xdr:colOff>533400</xdr:colOff>
                    <xdr:row>4</xdr:row>
                    <xdr:rowOff>152400</xdr:rowOff>
                  </from>
                  <to>
                    <xdr:col>17</xdr:col>
                    <xdr:colOff>314325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Form 429 Directions</vt:lpstr>
      <vt:lpstr>Form 429 Example</vt:lpstr>
      <vt:lpstr>Form 429 Blank</vt:lpstr>
      <vt:lpstr>'Form 429 Blank'!Print_Area</vt:lpstr>
      <vt:lpstr>'Form 429 Example'!Print_Area</vt:lpstr>
    </vt:vector>
  </TitlesOfParts>
  <Company>Colorado 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gilbertk</dc:creator>
  <cp:lastModifiedBy>Avgeris, Louis</cp:lastModifiedBy>
  <cp:lastPrinted>2018-05-18T15:08:59Z</cp:lastPrinted>
  <dcterms:created xsi:type="dcterms:W3CDTF">2000-09-27T22:48:31Z</dcterms:created>
  <dcterms:modified xsi:type="dcterms:W3CDTF">2018-08-14T14:54:11Z</dcterms:modified>
</cp:coreProperties>
</file>